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33\Desktop\07.公表用・決裁用\"/>
    </mc:Choice>
  </mc:AlternateContent>
  <bookViews>
    <workbookView xWindow="0" yWindow="0" windowWidth="20490" windowHeight="825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8" l="1"/>
  <c r="M55" i="8"/>
  <c r="M52" i="8"/>
  <c r="M51" i="8"/>
  <c r="M49" i="8"/>
  <c r="M48" i="8"/>
  <c r="M46" i="8"/>
  <c r="M45" i="8"/>
  <c r="M43" i="8"/>
  <c r="M40" i="8"/>
  <c r="M38" i="8"/>
  <c r="M37" i="8"/>
  <c r="M32" i="8"/>
  <c r="M31" i="8"/>
  <c r="M35" i="8"/>
  <c r="M29" i="8"/>
  <c r="M24" i="8"/>
  <c r="M23" i="8"/>
  <c r="M21" i="8"/>
  <c r="M20" i="8"/>
  <c r="M19" i="8"/>
  <c r="M9" i="8"/>
  <c r="M16" i="8"/>
  <c r="M15" i="8"/>
  <c r="M14" i="8"/>
  <c r="M12" i="8"/>
  <c r="M11" i="8"/>
  <c r="M10" i="8"/>
  <c r="O26" i="7"/>
  <c r="K26" i="7"/>
  <c r="O25" i="7"/>
  <c r="K25" i="7"/>
  <c r="O13" i="7"/>
  <c r="O12" i="7"/>
  <c r="O11" i="7"/>
  <c r="O10" i="7"/>
  <c r="O9" i="7"/>
  <c r="K13" i="7"/>
  <c r="K12" i="7"/>
  <c r="K11" i="7"/>
  <c r="K10" i="7"/>
  <c r="K9" i="7"/>
  <c r="N40" i="6"/>
  <c r="N31" i="6"/>
  <c r="N30" i="6"/>
  <c r="N29" i="6"/>
  <c r="N28" i="6"/>
  <c r="N27" i="6"/>
  <c r="N24" i="6"/>
  <c r="N23" i="6"/>
  <c r="N22" i="6"/>
  <c r="N19" i="6"/>
  <c r="N18" i="6"/>
  <c r="N17" i="6"/>
  <c r="N16" i="6"/>
  <c r="N15" i="6"/>
  <c r="N14" i="6"/>
  <c r="N13" i="6"/>
  <c r="N10" i="6"/>
  <c r="N9" i="6"/>
  <c r="N8" i="6"/>
  <c r="N7" i="6"/>
  <c r="Z75" i="5"/>
  <c r="Z74" i="5"/>
  <c r="Z25" i="5"/>
  <c r="Z22" i="5"/>
  <c r="Z14" i="5"/>
  <c r="Z13" i="5"/>
  <c r="Z8" i="5"/>
  <c r="Z7" i="5"/>
  <c r="P75" i="5"/>
  <c r="P66" i="5"/>
  <c r="P65" i="5"/>
  <c r="P64" i="5"/>
  <c r="P47" i="5"/>
  <c r="P40" i="5"/>
  <c r="P39" i="5"/>
  <c r="P37" i="5"/>
  <c r="P33" i="5"/>
  <c r="P8" i="5"/>
  <c r="P7" i="5"/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52" i="5" l="1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<sst xmlns="http://schemas.openxmlformats.org/spreadsheetml/2006/main" count="471" uniqueCount="366">
  <si>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</si>
  <si>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</si>
  <si>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</si>
  <si>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</si>
  <si>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</si>
  <si>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</si>
  <si>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</si>
  <si>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</si>
  <si>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</si>
  <si>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</si>
  <si>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</si>
  <si>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</si>
  <si>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</si>
  <si>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</si>
  <si>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</si>
  <si>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</si>
  <si>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</si>
  <si>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</si>
  <si>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</si>
  <si>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</si>
  <si>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</si>
  <si>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</si>
  <si>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</si>
  <si>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</si>
  <si>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</si>
  <si>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</si>
  <si>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</si>
  <si>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</si>
  <si>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</si>
  <si>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</si>
  <si>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</si>
  <si>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</si>
  <si>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</si>
  <si>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</si>
  <si>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</si>
  <si>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</si>
  <si>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</si>
  <si>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</si>
  <si>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</si>
  <si>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</si>
  <si>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</si>
  <si>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</si>
  <si>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</si>
  <si>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</si>
  <si>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</si>
  <si>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</si>
  <si>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</si>
  <si>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</si>
  <si>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</si>
  <si>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</si>
  <si>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</si>
  <si>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</si>
  <si>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</si>
  <si>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</si>
  <si>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</si>
  <si>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</si>
  <si>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</si>
  <si>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</si>
  <si>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</si>
  <si>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</si>
  <si>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</si>
  <si>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</si>
  <si>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</si>
  <si>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</si>
  <si>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</si>
  <si>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</si>
  <si>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</si>
  <si>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</si>
  <si>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</si>
  <si>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</si>
  <si>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</si>
  <si>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</si>
  <si>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</si>
  <si>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</si>
  <si>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</si>
  <si>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</si>
  <si>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</si>
  <si>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</si>
  <si>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</si>
  <si>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</si>
  <si>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</si>
  <si>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</si>
  <si>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</si>
  <si>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</si>
  <si>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</si>
  <si>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</si>
  <si>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</si>
  <si>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</si>
  <si>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</si>
  <si>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</si>
  <si>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</si>
  <si>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</si>
  <si>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</si>
  <si>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</si>
  <si>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</si>
  <si>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</si>
  <si>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</si>
  <si>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</si>
  <si>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</si>
  <si>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</si>
  <si>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</si>
  <si>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</si>
  <si>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</si>
  <si>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</si>
  <si>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</si>
  <si>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</si>
  <si>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</si>
  <si>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</si>
  <si>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</si>
  <si>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</si>
  <si>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</si>
  <si>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</si>
  <si>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</si>
  <si>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</si>
  <si>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</si>
  <si>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</si>
  <si>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</si>
  <si>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</si>
  <si>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</si>
  <si>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</si>
  <si>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</si>
  <si>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</si>
  <si>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</si>
  <si>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</si>
  <si>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</si>
  <si>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</si>
  <si>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</si>
  <si>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</si>
  <si>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</si>
  <si>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</si>
  <si>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</si>
  <si>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</si>
  <si>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</si>
  <si>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</si>
  <si>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</si>
  <si>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</si>
  <si>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</si>
  <si>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</si>
  <si>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</si>
  <si>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</si>
  <si>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</si>
  <si>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</si>
  <si>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</si>
  <si>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</si>
  <si>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</si>
  <si>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</si>
  <si>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</si>
  <si>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</si>
  <si>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</si>
  <si>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</si>
  <si>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</si>
  <si>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</si>
  <si>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</si>
  <si>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</si>
  <si>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</si>
  <si>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</si>
  <si>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</si>
  <si>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</si>
  <si>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</si>
  <si>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</si>
  <si>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</si>
  <si>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</si>
  <si>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</si>
  <si>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</si>
  <si>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</si>
  <si>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</si>
  <si>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</si>
  <si>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</si>
  <si>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</si>
  <si>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</si>
  <si>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</si>
  <si>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</si>
  <si>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</si>
  <si>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</si>
  <si>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</si>
  <si>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</si>
  <si>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</si>
  <si>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</si>
  <si>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</si>
  <si>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</si>
  <si>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</si>
  <si>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</si>
  <si>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</si>
  <si>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</si>
  <si>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</si>
  <si>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</si>
  <si>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</si>
  <si>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</si>
  <si>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</si>
  <si>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</si>
  <si>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</si>
  <si>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</si>
  <si>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</si>
  <si>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</si>
  <si>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</si>
  <si>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</si>
  <si>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</si>
  <si>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</si>
  <si>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</si>
  <si>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</si>
  <si>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</si>
  <si>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</si>
  <si>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</si>
  <si>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</si>
  <si>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</si>
  <si>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</si>
  <si>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</si>
  <si>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</si>
  <si>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</si>
  <si>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</si>
  <si>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</si>
  <si>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</si>
  <si>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</si>
  <si>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</si>
  <si>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</si>
  <si>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</si>
  <si>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</si>
  <si>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</si>
  <si>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</si>
  <si>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</si>
  <si>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</si>
  <si>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</si>
  <si>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</si>
  <si>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</si>
  <si>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</si>
  <si>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</si>
  <si>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</si>
  <si>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</si>
  <si>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</si>
  <si>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</si>
  <si>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</si>
  <si>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</si>
  <si>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</si>
  <si>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</si>
  <si>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</si>
  <si>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</si>
  <si>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</si>
  <si>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</si>
  <si>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</si>
  <si>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</si>
  <si>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</si>
  <si>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</si>
  <si>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</si>
  <si>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</si>
  <si>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</si>
  <si>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</si>
  <si>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</si>
  <si>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</si>
  <si>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</si>
  <si>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</si>
  <si>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</si>
  <si>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</si>
  <si>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</si>
  <si>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</si>
  <si>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</si>
  <si>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</si>
  <si>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</si>
  <si>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</si>
  <si>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</si>
  <si>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</si>
  <si>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</si>
  <si>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</si>
  <si>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</si>
  <si>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</si>
  <si>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</si>
  <si>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</si>
  <si>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</si>
  <si>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</si>
  <si>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</si>
  <si>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</si>
  <si>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</si>
  <si>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</si>
  <si>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</si>
  <si>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</si>
  <si>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</si>
  <si>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</si>
  <si>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</si>
  <si>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</si>
  <si>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</si>
  <si>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</si>
  <si>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</si>
  <si>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</si>
  <si>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</si>
  <si>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</si>
  <si>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</si>
  <si>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</si>
  <si>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</si>
  <si>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</si>
  <si>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</si>
  <si>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</si>
  <si>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</si>
  <si>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</si>
  <si>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</si>
  <si>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</si>
  <si>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</si>
  <si>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</si>
  <si>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</si>
  <si>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</si>
  <si>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</si>
  <si>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</si>
  <si>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</si>
  <si>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</si>
  <si>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</si>
  <si>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</si>
  <si>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</si>
  <si>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</si>
  <si>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</si>
  <si>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</si>
  <si>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</si>
  <si>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</si>
  <si>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</si>
  <si>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</si>
  <si>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</si>
  <si>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</si>
  <si>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</si>
  <si>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</si>
  <si>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</si>
  <si>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</si>
  <si>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</si>
  <si>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</si>
  <si>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</si>
  <si>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</si>
  <si>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</si>
  <si>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</si>
  <si>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</si>
  <si>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</si>
  <si>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</si>
  <si>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</si>
  <si>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</si>
  <si>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</si>
  <si>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</si>
  <si>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</si>
  <si>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</si>
  <si>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</si>
  <si>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</si>
  <si>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</si>
  <si>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</si>
  <si>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</si>
  <si>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</si>
  <si>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</si>
  <si>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</si>
  <si>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</si>
  <si>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</si>
  <si>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</si>
  <si>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</si>
  <si>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</si>
  <si>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</si>
  <si>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</si>
  <si>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</si>
  <si>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</si>
  <si>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</si>
  <si>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</si>
  <si>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</si>
  <si>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</si>
  <si>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平成３０年４月１日　</t>
    <phoneticPr fontId="11"/>
  </si>
  <si>
    <t>至　平成３１年３月３１日</t>
    <phoneticPr fontId="11"/>
  </si>
  <si>
    <t>連結純資産変動計算書</t>
  </si>
  <si>
    <t>自　平成３０年４月１日　</t>
    <phoneticPr fontId="11"/>
  </si>
  <si>
    <t>至　平成３１年３月３１日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</si>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</sst>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8" fontId="9" fillId="2" borderId="22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1" xfId="3" applyNumberFormat="1" applyFont="1" applyFill="1" applyBorder="1" applyAlignment="1">
      <alignment horizontal="right" vertical="center"/>
    </xf>
    <xf numFmtId="176" fontId="0" fillId="0" borderId="19" xfId="5" applyNumberFormat="1" applyFont="1" applyFill="1" applyBorder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21" xfId="5" applyNumberFormat="1" applyFont="1" applyFill="1" applyBorder="1" applyAlignment="1">
      <alignment horizontal="right" vertical="center"/>
    </xf>
    <xf numFmtId="176" fontId="1" fillId="0" borderId="27" xfId="5" applyNumberFormat="1" applyFont="1" applyFill="1" applyBorder="1" applyAlignment="1">
      <alignment horizontal="right" vertical="center"/>
    </xf>
    <xf numFmtId="176" fontId="1" fillId="0" borderId="17" xfId="5" applyNumberFormat="1" applyFont="1" applyFill="1" applyBorder="1" applyAlignment="1">
      <alignment horizontal="right" vertical="center"/>
    </xf>
    <xf numFmtId="177" fontId="9" fillId="0" borderId="18" xfId="5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1" fillId="0" borderId="31" xfId="3" applyFont="1" applyFill="1" applyBorder="1" applyAlignment="1">
      <alignment vertical="center"/>
    </xf>
    <xf numFmtId="176" fontId="0" fillId="0" borderId="19" xfId="3" applyNumberFormat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6" fontId="0" fillId="0" borderId="21" xfId="3" applyNumberFormat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center" vertical="center"/>
    </xf>
    <xf numFmtId="176" fontId="1" fillId="0" borderId="23" xfId="3" applyNumberFormat="1" applyFont="1" applyFill="1" applyBorder="1" applyAlignment="1">
      <alignment horizontal="right" vertical="center"/>
    </xf>
    <xf numFmtId="176" fontId="0" fillId="0" borderId="17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 applyAlignment="1">
      <alignment horizontal="right" vertical="center"/>
    </xf>
    <xf numFmtId="176" fontId="1" fillId="0" borderId="3" xfId="3" applyNumberFormat="1" applyFont="1" applyFill="1" applyBorder="1" applyAlignment="1">
      <alignment horizontal="right" vertical="center"/>
    </xf>
    <xf numFmtId="176" fontId="1" fillId="0" borderId="27" xfId="3" applyNumberFormat="1" applyFont="1" applyFill="1" applyBorder="1" applyAlignment="1">
      <alignment horizontal="right" vertical="center"/>
    </xf>
    <xf numFmtId="176" fontId="1" fillId="0" borderId="17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Fill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7"/>
  <sheetViews>
    <sheetView showGridLines="0" tabSelected="1" topLeftCell="C1" zoomScale="85" zoomScaleNormal="85" zoomScaleSheetLayoutView="85" workbookViewId="0">
      <selection activeCell="AG9" sqref="AG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28" t="s">
        <v>362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40" ht="21" customHeight="1" x14ac:dyDescent="0.15">
      <c r="D3" s="229" t="s">
        <v>363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40" s="16" customFormat="1" ht="14.25" customHeight="1" thickBot="1" x14ac:dyDescent="0.2">
      <c r="A5" s="15" t="s">
        <v>330</v>
      </c>
      <c r="B5" s="15" t="s">
        <v>331</v>
      </c>
      <c r="D5" s="230" t="s">
        <v>1</v>
      </c>
      <c r="E5" s="231"/>
      <c r="F5" s="231"/>
      <c r="G5" s="231"/>
      <c r="H5" s="231"/>
      <c r="I5" s="231"/>
      <c r="J5" s="231"/>
      <c r="K5" s="232"/>
      <c r="L5" s="232"/>
      <c r="M5" s="232"/>
      <c r="N5" s="232"/>
      <c r="O5" s="232"/>
      <c r="P5" s="233" t="s">
        <v>332</v>
      </c>
      <c r="Q5" s="234"/>
      <c r="R5" s="231" t="s">
        <v>1</v>
      </c>
      <c r="S5" s="231"/>
      <c r="T5" s="231"/>
      <c r="U5" s="231"/>
      <c r="V5" s="231"/>
      <c r="W5" s="231"/>
      <c r="X5" s="231"/>
      <c r="Y5" s="231"/>
      <c r="Z5" s="233" t="s">
        <v>332</v>
      </c>
      <c r="AA5" s="234"/>
    </row>
    <row r="6" spans="1:40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M6" s="203"/>
      <c r="AN6" s="203"/>
    </row>
    <row r="7" spans="1:40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06">
        <f>64124354926+52161234</f>
        <v>64176516160</v>
      </c>
      <c r="Q7" s="22"/>
      <c r="R7" s="19"/>
      <c r="S7" s="19" t="s">
        <v>116</v>
      </c>
      <c r="T7" s="19"/>
      <c r="U7" s="19"/>
      <c r="V7" s="19"/>
      <c r="W7" s="19"/>
      <c r="X7" s="19"/>
      <c r="Y7" s="18"/>
      <c r="Z7" s="207">
        <f>25876813242-538100000</f>
        <v>25338713242</v>
      </c>
      <c r="AA7" s="25"/>
      <c r="AD7" s="9">
        <f>IF(AND(AD8="-",AD49="-",AD52="-"),"-",SUM(AD8,AD49,AD52))</f>
        <v>64124354926</v>
      </c>
      <c r="AE7" s="9">
        <f>IF(COUNTIF(AE8:AE12,"-")=COUNTA(AE8:AE12),"-",SUM(AE8:AE12))</f>
        <v>25876813242</v>
      </c>
      <c r="AM7" s="203"/>
      <c r="AN7" s="203"/>
    </row>
    <row r="8" spans="1:40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07">
        <f>60451301120+52161234</f>
        <v>60503462354</v>
      </c>
      <c r="Q8" s="22"/>
      <c r="R8" s="19"/>
      <c r="S8" s="19"/>
      <c r="T8" s="19" t="s">
        <v>364</v>
      </c>
      <c r="U8" s="19"/>
      <c r="V8" s="19"/>
      <c r="W8" s="19"/>
      <c r="X8" s="19"/>
      <c r="Y8" s="18"/>
      <c r="Z8" s="207">
        <f>20802173546-538100000</f>
        <v>20264073546</v>
      </c>
      <c r="AA8" s="25"/>
      <c r="AD8" s="9">
        <f>IF(AND(AD9="-",AD33="-",COUNTIF(AD46:AD48,"-")=COUNTA(AD46:AD48)),"-",SUM(AD9,AD33,AD46:AD48))</f>
        <v>60451301120</v>
      </c>
      <c r="AE8" s="9">
        <v>20802173546</v>
      </c>
      <c r="AM8" s="203"/>
      <c r="AN8" s="203"/>
    </row>
    <row r="9" spans="1:40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07">
        <v>30142603099</v>
      </c>
      <c r="Q9" s="22"/>
      <c r="R9" s="19"/>
      <c r="S9" s="19"/>
      <c r="T9" s="19" t="s">
        <v>119</v>
      </c>
      <c r="U9" s="19"/>
      <c r="V9" s="19"/>
      <c r="W9" s="19"/>
      <c r="X9" s="19"/>
      <c r="Y9" s="18"/>
      <c r="Z9" s="207">
        <v>0</v>
      </c>
      <c r="AA9" s="25"/>
      <c r="AD9" s="9">
        <f>IF(COUNTIF(AD10:AD32,"-")=COUNTA(AD10:AD32),"-",SUM(AD10:AD32))</f>
        <v>30142603099</v>
      </c>
      <c r="AE9" s="9">
        <v>0</v>
      </c>
      <c r="AM9" s="203"/>
      <c r="AN9" s="203"/>
    </row>
    <row r="10" spans="1:40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07">
        <v>11032234511</v>
      </c>
      <c r="Q10" s="22"/>
      <c r="R10" s="19"/>
      <c r="S10" s="19"/>
      <c r="T10" s="19" t="s">
        <v>121</v>
      </c>
      <c r="U10" s="19"/>
      <c r="V10" s="19"/>
      <c r="W10" s="19"/>
      <c r="X10" s="19"/>
      <c r="Y10" s="18"/>
      <c r="Z10" s="207">
        <v>4351023689</v>
      </c>
      <c r="AA10" s="25"/>
      <c r="AD10" s="9">
        <v>11032234511</v>
      </c>
      <c r="AE10" s="9">
        <v>4351023689</v>
      </c>
      <c r="AM10" s="203"/>
      <c r="AN10" s="203"/>
    </row>
    <row r="11" spans="1:40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07">
        <v>0</v>
      </c>
      <c r="Q11" s="22"/>
      <c r="R11" s="19"/>
      <c r="S11" s="19"/>
      <c r="T11" s="19" t="s">
        <v>123</v>
      </c>
      <c r="U11" s="19"/>
      <c r="V11" s="19"/>
      <c r="W11" s="19"/>
      <c r="X11" s="19"/>
      <c r="Y11" s="18"/>
      <c r="Z11" s="207">
        <v>59398000</v>
      </c>
      <c r="AA11" s="25"/>
      <c r="AD11" s="9">
        <v>0</v>
      </c>
      <c r="AE11" s="9">
        <v>59398000</v>
      </c>
      <c r="AM11" s="203"/>
      <c r="AN11" s="203"/>
    </row>
    <row r="12" spans="1:40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07">
        <v>2830984</v>
      </c>
      <c r="Q12" s="22"/>
      <c r="R12" s="19"/>
      <c r="S12" s="19"/>
      <c r="T12" s="19" t="s">
        <v>45</v>
      </c>
      <c r="U12" s="19"/>
      <c r="V12" s="19"/>
      <c r="W12" s="19"/>
      <c r="X12" s="19"/>
      <c r="Y12" s="18"/>
      <c r="Z12" s="207">
        <v>664218007</v>
      </c>
      <c r="AA12" s="25"/>
      <c r="AD12" s="9">
        <v>2830984</v>
      </c>
      <c r="AE12" s="9">
        <v>664218007</v>
      </c>
      <c r="AM12" s="203"/>
      <c r="AN12" s="203"/>
    </row>
    <row r="13" spans="1:40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07">
        <v>0</v>
      </c>
      <c r="Q13" s="22"/>
      <c r="R13" s="19"/>
      <c r="S13" s="19" t="s">
        <v>126</v>
      </c>
      <c r="T13" s="19"/>
      <c r="U13" s="19"/>
      <c r="V13" s="19"/>
      <c r="W13" s="19"/>
      <c r="X13" s="19"/>
      <c r="Y13" s="18"/>
      <c r="Z13" s="207">
        <f>2040015964+635256732</f>
        <v>2675272696</v>
      </c>
      <c r="AA13" s="25"/>
      <c r="AD13" s="9">
        <v>0</v>
      </c>
      <c r="AE13" s="9">
        <f>IF(COUNTIF(AE14:AE21,"-")=COUNTA(AE14:AE21),"-",SUM(AE14:AE21))</f>
        <v>2040015964</v>
      </c>
      <c r="AM13" s="203"/>
      <c r="AN13" s="203"/>
    </row>
    <row r="14" spans="1:40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07">
        <v>43140743025</v>
      </c>
      <c r="Q14" s="22"/>
      <c r="R14" s="19"/>
      <c r="S14" s="19"/>
      <c r="T14" s="19" t="s">
        <v>365</v>
      </c>
      <c r="U14" s="19"/>
      <c r="V14" s="19"/>
      <c r="W14" s="19"/>
      <c r="X14" s="19"/>
      <c r="Y14" s="18"/>
      <c r="Z14" s="207">
        <f>1412768244+635256732</f>
        <v>2048024976</v>
      </c>
      <c r="AA14" s="25"/>
      <c r="AD14" s="9">
        <v>43140743025</v>
      </c>
      <c r="AE14" s="9">
        <v>1412768244</v>
      </c>
      <c r="AM14" s="203"/>
      <c r="AN14" s="203"/>
    </row>
    <row r="15" spans="1:40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07">
        <v>-26850328467</v>
      </c>
      <c r="Q15" s="22"/>
      <c r="R15" s="19"/>
      <c r="S15" s="19"/>
      <c r="T15" s="19" t="s">
        <v>129</v>
      </c>
      <c r="U15" s="19"/>
      <c r="V15" s="19"/>
      <c r="W15" s="19"/>
      <c r="X15" s="19"/>
      <c r="Y15" s="18"/>
      <c r="Z15" s="207">
        <v>193030062</v>
      </c>
      <c r="AA15" s="25"/>
      <c r="AD15" s="9">
        <v>-26850328467</v>
      </c>
      <c r="AE15" s="9">
        <v>193030062</v>
      </c>
      <c r="AM15" s="203"/>
      <c r="AN15" s="203"/>
    </row>
    <row r="16" spans="1:40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07">
        <v>0</v>
      </c>
      <c r="Q16" s="22"/>
      <c r="R16" s="19"/>
      <c r="S16" s="19"/>
      <c r="T16" s="19" t="s">
        <v>131</v>
      </c>
      <c r="U16" s="19"/>
      <c r="V16" s="19"/>
      <c r="W16" s="19"/>
      <c r="X16" s="19"/>
      <c r="Y16" s="18"/>
      <c r="Z16" s="207">
        <v>0</v>
      </c>
      <c r="AA16" s="25"/>
      <c r="AD16" s="9">
        <v>0</v>
      </c>
      <c r="AE16" s="9">
        <v>0</v>
      </c>
      <c r="AM16" s="203"/>
      <c r="AN16" s="203"/>
    </row>
    <row r="17" spans="1:40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07">
        <v>9402928443</v>
      </c>
      <c r="Q17" s="22"/>
      <c r="R17" s="18"/>
      <c r="S17" s="19"/>
      <c r="T17" s="19" t="s">
        <v>133</v>
      </c>
      <c r="U17" s="19"/>
      <c r="V17" s="19"/>
      <c r="W17" s="19"/>
      <c r="X17" s="19"/>
      <c r="Y17" s="18"/>
      <c r="Z17" s="207">
        <v>0</v>
      </c>
      <c r="AA17" s="25"/>
      <c r="AD17" s="9">
        <v>9402928443</v>
      </c>
      <c r="AE17" s="9">
        <v>0</v>
      </c>
      <c r="AM17" s="203"/>
      <c r="AN17" s="203"/>
    </row>
    <row r="18" spans="1:40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07">
        <v>-6593654016</v>
      </c>
      <c r="Q18" s="22"/>
      <c r="R18" s="18"/>
      <c r="S18" s="19"/>
      <c r="T18" s="19" t="s">
        <v>135</v>
      </c>
      <c r="U18" s="19"/>
      <c r="V18" s="19"/>
      <c r="W18" s="19"/>
      <c r="X18" s="19"/>
      <c r="Y18" s="18"/>
      <c r="Z18" s="207">
        <v>0</v>
      </c>
      <c r="AA18" s="25"/>
      <c r="AD18" s="9">
        <v>-6593654016</v>
      </c>
      <c r="AE18" s="9">
        <v>0</v>
      </c>
      <c r="AM18" s="203"/>
      <c r="AN18" s="203"/>
    </row>
    <row r="19" spans="1:40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07">
        <v>0</v>
      </c>
      <c r="Q19" s="22"/>
      <c r="R19" s="19"/>
      <c r="S19" s="19"/>
      <c r="T19" s="19" t="s">
        <v>137</v>
      </c>
      <c r="U19" s="19"/>
      <c r="V19" s="19"/>
      <c r="W19" s="19"/>
      <c r="X19" s="19"/>
      <c r="Y19" s="18"/>
      <c r="Z19" s="207">
        <v>244499637</v>
      </c>
      <c r="AA19" s="25"/>
      <c r="AD19" s="9">
        <v>0</v>
      </c>
      <c r="AE19" s="9">
        <v>244499637</v>
      </c>
      <c r="AM19" s="203"/>
      <c r="AN19" s="203"/>
    </row>
    <row r="20" spans="1:40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6"/>
      <c r="J20" s="26"/>
      <c r="K20" s="27"/>
      <c r="L20" s="27"/>
      <c r="M20" s="27"/>
      <c r="N20" s="27"/>
      <c r="O20" s="27"/>
      <c r="P20" s="207">
        <v>0</v>
      </c>
      <c r="Q20" s="22"/>
      <c r="R20" s="19"/>
      <c r="S20" s="19"/>
      <c r="T20" s="19" t="s">
        <v>139</v>
      </c>
      <c r="U20" s="19"/>
      <c r="V20" s="19"/>
      <c r="W20" s="19"/>
      <c r="X20" s="19"/>
      <c r="Y20" s="18"/>
      <c r="Z20" s="207">
        <v>187542493</v>
      </c>
      <c r="AA20" s="25"/>
      <c r="AD20" s="9">
        <v>0</v>
      </c>
      <c r="AE20" s="9">
        <v>187542493</v>
      </c>
      <c r="AM20" s="203"/>
      <c r="AN20" s="203"/>
    </row>
    <row r="21" spans="1:40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6"/>
      <c r="J21" s="26"/>
      <c r="K21" s="27"/>
      <c r="L21" s="27"/>
      <c r="M21" s="27"/>
      <c r="N21" s="27"/>
      <c r="O21" s="27"/>
      <c r="P21" s="207">
        <v>0</v>
      </c>
      <c r="Q21" s="22"/>
      <c r="R21" s="19"/>
      <c r="S21" s="19"/>
      <c r="T21" s="19" t="s">
        <v>45</v>
      </c>
      <c r="U21" s="19"/>
      <c r="V21" s="19"/>
      <c r="W21" s="19"/>
      <c r="X21" s="19"/>
      <c r="Y21" s="18"/>
      <c r="Z21" s="207">
        <v>2175528</v>
      </c>
      <c r="AA21" s="25"/>
      <c r="AD21" s="9">
        <v>0</v>
      </c>
      <c r="AE21" s="9">
        <v>2175528</v>
      </c>
      <c r="AM21" s="203"/>
      <c r="AN21" s="203"/>
    </row>
    <row r="22" spans="1:40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6"/>
      <c r="J22" s="26"/>
      <c r="K22" s="27"/>
      <c r="L22" s="27"/>
      <c r="M22" s="27"/>
      <c r="N22" s="27"/>
      <c r="O22" s="27"/>
      <c r="P22" s="207">
        <v>0</v>
      </c>
      <c r="Q22" s="22"/>
      <c r="R22" s="235" t="s">
        <v>114</v>
      </c>
      <c r="S22" s="236"/>
      <c r="T22" s="236"/>
      <c r="U22" s="236"/>
      <c r="V22" s="236"/>
      <c r="W22" s="236"/>
      <c r="X22" s="236"/>
      <c r="Y22" s="236"/>
      <c r="Z22" s="208">
        <f>27916829206+97156732</f>
        <v>28013985938</v>
      </c>
      <c r="AA22" s="28"/>
      <c r="AD22" s="9">
        <v>0</v>
      </c>
      <c r="AE22" s="9">
        <f>IF(AND(AE7="-",AE13="-"),"-",SUM(AE7,AE13))</f>
        <v>27916829206</v>
      </c>
      <c r="AM22" s="203"/>
      <c r="AN22" s="203"/>
    </row>
    <row r="23" spans="1:40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6"/>
      <c r="J23" s="26"/>
      <c r="K23" s="27"/>
      <c r="L23" s="27"/>
      <c r="M23" s="27"/>
      <c r="N23" s="27"/>
      <c r="O23" s="27"/>
      <c r="P23" s="207">
        <v>0</v>
      </c>
      <c r="Q23" s="22"/>
      <c r="R23" s="19" t="s">
        <v>338</v>
      </c>
      <c r="S23" s="204"/>
      <c r="T23" s="204"/>
      <c r="U23" s="204"/>
      <c r="V23" s="204"/>
      <c r="W23" s="204"/>
      <c r="X23" s="204"/>
      <c r="Y23" s="204"/>
      <c r="Z23" s="21"/>
      <c r="AA23" s="29"/>
      <c r="AD23" s="9">
        <v>0</v>
      </c>
      <c r="AM23" s="203"/>
      <c r="AN23" s="203"/>
    </row>
    <row r="24" spans="1:40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6"/>
      <c r="J24" s="26"/>
      <c r="K24" s="27"/>
      <c r="L24" s="27"/>
      <c r="M24" s="27"/>
      <c r="N24" s="27"/>
      <c r="O24" s="27"/>
      <c r="P24" s="207">
        <v>0</v>
      </c>
      <c r="Q24" s="22"/>
      <c r="R24" s="19"/>
      <c r="S24" s="19" t="s">
        <v>144</v>
      </c>
      <c r="T24" s="19"/>
      <c r="U24" s="19"/>
      <c r="V24" s="19"/>
      <c r="W24" s="19"/>
      <c r="X24" s="19"/>
      <c r="Y24" s="18"/>
      <c r="Z24" s="207">
        <v>65262737092</v>
      </c>
      <c r="AA24" s="25"/>
      <c r="AD24" s="9">
        <v>0</v>
      </c>
      <c r="AE24" s="9">
        <v>65262737092</v>
      </c>
      <c r="AM24" s="203"/>
      <c r="AN24" s="203"/>
    </row>
    <row r="25" spans="1:40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6"/>
      <c r="J25" s="26"/>
      <c r="K25" s="27"/>
      <c r="L25" s="27"/>
      <c r="M25" s="27"/>
      <c r="N25" s="27"/>
      <c r="O25" s="27"/>
      <c r="P25" s="207">
        <v>0</v>
      </c>
      <c r="Q25" s="22"/>
      <c r="R25" s="19"/>
      <c r="S25" s="18" t="s">
        <v>146</v>
      </c>
      <c r="T25" s="19"/>
      <c r="U25" s="19"/>
      <c r="V25" s="19"/>
      <c r="W25" s="19"/>
      <c r="X25" s="19"/>
      <c r="Y25" s="18"/>
      <c r="Z25" s="207">
        <f>-24172016087-56663669</f>
        <v>-24228679756</v>
      </c>
      <c r="AA25" s="25"/>
      <c r="AD25" s="9">
        <v>0</v>
      </c>
      <c r="AE25" s="9">
        <v>-24172016087</v>
      </c>
      <c r="AM25" s="203"/>
      <c r="AN25" s="203"/>
    </row>
    <row r="26" spans="1:40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6"/>
      <c r="J26" s="26"/>
      <c r="K26" s="27"/>
      <c r="L26" s="27"/>
      <c r="M26" s="27"/>
      <c r="N26" s="27"/>
      <c r="O26" s="27"/>
      <c r="P26" s="207">
        <v>0</v>
      </c>
      <c r="Q26" s="22"/>
      <c r="R26" s="19"/>
      <c r="S26" s="19" t="s">
        <v>148</v>
      </c>
      <c r="T26" s="19"/>
      <c r="U26" s="19"/>
      <c r="V26" s="19"/>
      <c r="W26" s="19"/>
      <c r="X26" s="19"/>
      <c r="Y26" s="18"/>
      <c r="Z26" s="207">
        <v>-664773</v>
      </c>
      <c r="AA26" s="25"/>
      <c r="AD26" s="9">
        <v>0</v>
      </c>
      <c r="AE26" s="9">
        <v>-664773</v>
      </c>
      <c r="AM26" s="203"/>
      <c r="AN26" s="203"/>
    </row>
    <row r="27" spans="1:40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6"/>
      <c r="J27" s="26"/>
      <c r="K27" s="27"/>
      <c r="L27" s="27"/>
      <c r="M27" s="27"/>
      <c r="N27" s="27"/>
      <c r="O27" s="27"/>
      <c r="P27" s="207">
        <v>0</v>
      </c>
      <c r="Q27" s="22"/>
      <c r="R27" s="24"/>
      <c r="S27" s="19"/>
      <c r="T27" s="19"/>
      <c r="U27" s="19"/>
      <c r="V27" s="19"/>
      <c r="W27" s="19"/>
      <c r="X27" s="19"/>
      <c r="Y27" s="18"/>
      <c r="Z27" s="207"/>
      <c r="AA27" s="30"/>
      <c r="AD27" s="9">
        <v>0</v>
      </c>
      <c r="AM27" s="203"/>
      <c r="AN27" s="203"/>
    </row>
    <row r="28" spans="1:40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6"/>
      <c r="J28" s="26"/>
      <c r="K28" s="27"/>
      <c r="L28" s="27"/>
      <c r="M28" s="27"/>
      <c r="N28" s="27"/>
      <c r="O28" s="27"/>
      <c r="P28" s="207">
        <v>0</v>
      </c>
      <c r="Q28" s="22"/>
      <c r="R28" s="24"/>
      <c r="S28" s="19"/>
      <c r="T28" s="19"/>
      <c r="U28" s="19"/>
      <c r="V28" s="19"/>
      <c r="W28" s="19"/>
      <c r="X28" s="19"/>
      <c r="Y28" s="18"/>
      <c r="Z28" s="207"/>
      <c r="AA28" s="30"/>
      <c r="AD28" s="9">
        <v>0</v>
      </c>
      <c r="AM28" s="203"/>
      <c r="AN28" s="203"/>
    </row>
    <row r="29" spans="1:40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07">
        <v>0</v>
      </c>
      <c r="Q29" s="22"/>
      <c r="R29" s="237"/>
      <c r="S29" s="238"/>
      <c r="T29" s="238"/>
      <c r="U29" s="238"/>
      <c r="V29" s="238"/>
      <c r="W29" s="238"/>
      <c r="X29" s="238"/>
      <c r="Y29" s="238"/>
      <c r="Z29" s="207"/>
      <c r="AA29" s="25"/>
      <c r="AD29" s="9">
        <v>0</v>
      </c>
      <c r="AM29" s="203"/>
      <c r="AN29" s="203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07">
        <v>0</v>
      </c>
      <c r="Q30" s="22"/>
      <c r="R30" s="24"/>
      <c r="S30" s="204"/>
      <c r="T30" s="204"/>
      <c r="U30" s="204"/>
      <c r="V30" s="204"/>
      <c r="W30" s="204"/>
      <c r="X30" s="204"/>
      <c r="Y30" s="204"/>
      <c r="Z30" s="21"/>
      <c r="AA30" s="31"/>
      <c r="AD30" s="9">
        <v>0</v>
      </c>
      <c r="AM30" s="203"/>
      <c r="AN30" s="203"/>
    </row>
    <row r="31" spans="1:40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07">
        <v>0</v>
      </c>
      <c r="Q31" s="22"/>
      <c r="R31" s="19"/>
      <c r="S31" s="204"/>
      <c r="T31" s="204"/>
      <c r="U31" s="204"/>
      <c r="V31" s="204"/>
      <c r="W31" s="204"/>
      <c r="X31" s="204"/>
      <c r="Y31" s="204"/>
      <c r="Z31" s="21"/>
      <c r="AA31" s="31"/>
      <c r="AD31" s="9">
        <v>0</v>
      </c>
      <c r="AM31" s="203"/>
      <c r="AN31" s="203"/>
    </row>
    <row r="32" spans="1:40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07">
        <v>7848619</v>
      </c>
      <c r="Q32" s="22"/>
      <c r="R32" s="19"/>
      <c r="S32" s="19"/>
      <c r="T32" s="19"/>
      <c r="U32" s="19"/>
      <c r="V32" s="19"/>
      <c r="W32" s="19"/>
      <c r="X32" s="19"/>
      <c r="Y32" s="18"/>
      <c r="Z32" s="207"/>
      <c r="AA32" s="30"/>
      <c r="AD32" s="9">
        <v>7848619</v>
      </c>
      <c r="AM32" s="203"/>
      <c r="AN32" s="203"/>
    </row>
    <row r="33" spans="1:4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06">
        <f>28316606921+51364864</f>
        <v>28367971785</v>
      </c>
      <c r="Q33" s="22"/>
      <c r="R33" s="19"/>
      <c r="S33" s="18"/>
      <c r="T33" s="19"/>
      <c r="U33" s="19"/>
      <c r="V33" s="19"/>
      <c r="W33" s="19"/>
      <c r="X33" s="19"/>
      <c r="Y33" s="18"/>
      <c r="Z33" s="207"/>
      <c r="AA33" s="30"/>
      <c r="AD33" s="9">
        <f>IF(COUNTIF(AD34:AD45,"-")=COUNTA(AD34:AD45),"-",SUM(AD34:AD45))</f>
        <v>28316606921</v>
      </c>
      <c r="AM33" s="203"/>
      <c r="AN33" s="203"/>
    </row>
    <row r="34" spans="1:4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07">
        <v>7976340810</v>
      </c>
      <c r="Q34" s="22"/>
      <c r="R34" s="17"/>
      <c r="S34" s="18"/>
      <c r="T34" s="18"/>
      <c r="U34" s="18"/>
      <c r="V34" s="18"/>
      <c r="W34" s="18"/>
      <c r="X34" s="18"/>
      <c r="Y34" s="32"/>
      <c r="Z34" s="207"/>
      <c r="AA34" s="30"/>
      <c r="AD34" s="9">
        <v>7976340810</v>
      </c>
      <c r="AM34" s="203"/>
      <c r="AN34" s="203"/>
    </row>
    <row r="35" spans="1:4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07">
        <v>0</v>
      </c>
      <c r="Q35" s="22"/>
      <c r="R35" s="18"/>
      <c r="S35" s="18"/>
      <c r="T35" s="18"/>
      <c r="U35" s="18"/>
      <c r="V35" s="18"/>
      <c r="W35" s="18"/>
      <c r="X35" s="18"/>
      <c r="Y35" s="18"/>
      <c r="Z35" s="207"/>
      <c r="AA35" s="30"/>
      <c r="AD35" s="9">
        <v>0</v>
      </c>
      <c r="AM35" s="203"/>
      <c r="AN35" s="203"/>
    </row>
    <row r="36" spans="1:4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06">
        <v>642932461</v>
      </c>
      <c r="Q36" s="22"/>
      <c r="R36" s="33"/>
      <c r="S36" s="33"/>
      <c r="T36" s="33"/>
      <c r="U36" s="33"/>
      <c r="V36" s="33"/>
      <c r="W36" s="33"/>
      <c r="X36" s="33"/>
      <c r="Y36" s="33"/>
      <c r="Z36" s="21"/>
      <c r="AA36" s="34"/>
      <c r="AD36" s="9">
        <v>642932461</v>
      </c>
      <c r="AM36" s="203"/>
      <c r="AN36" s="203"/>
    </row>
    <row r="37" spans="1:4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07">
        <f>-496450991+54266860</f>
        <v>-442184131</v>
      </c>
      <c r="Q37" s="22"/>
      <c r="R37" s="33"/>
      <c r="S37" s="33"/>
      <c r="T37" s="33"/>
      <c r="U37" s="33"/>
      <c r="V37" s="33"/>
      <c r="W37" s="33"/>
      <c r="X37" s="33"/>
      <c r="Y37" s="33"/>
      <c r="Z37" s="21"/>
      <c r="AA37" s="34"/>
      <c r="AD37" s="9">
        <v>-496450991</v>
      </c>
      <c r="AM37" s="203"/>
      <c r="AN37" s="203"/>
    </row>
    <row r="38" spans="1:4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07">
        <v>0</v>
      </c>
      <c r="Q38" s="22"/>
      <c r="R38" s="33"/>
      <c r="S38" s="33"/>
      <c r="T38" s="33"/>
      <c r="U38" s="33"/>
      <c r="V38" s="33"/>
      <c r="W38" s="33"/>
      <c r="X38" s="33"/>
      <c r="Y38" s="33"/>
      <c r="Z38" s="21"/>
      <c r="AA38" s="34"/>
      <c r="AD38" s="9">
        <v>0</v>
      </c>
      <c r="AM38" s="203"/>
      <c r="AN38" s="203"/>
    </row>
    <row r="39" spans="1:4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07">
        <f>44464678552-231828420</f>
        <v>44232850132</v>
      </c>
      <c r="Q39" s="22"/>
      <c r="R39" s="33"/>
      <c r="S39" s="33"/>
      <c r="T39" s="33"/>
      <c r="U39" s="33"/>
      <c r="V39" s="33"/>
      <c r="W39" s="33"/>
      <c r="X39" s="33"/>
      <c r="Y39" s="33"/>
      <c r="Z39" s="21"/>
      <c r="AA39" s="34"/>
      <c r="AD39" s="9">
        <v>44464678552</v>
      </c>
      <c r="AM39" s="203"/>
      <c r="AN39" s="203"/>
    </row>
    <row r="40" spans="1:4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07">
        <f>-24314769913+228926424</f>
        <v>-24085843489</v>
      </c>
      <c r="Q40" s="22"/>
      <c r="R40" s="33"/>
      <c r="S40" s="33"/>
      <c r="T40" s="33"/>
      <c r="U40" s="33"/>
      <c r="V40" s="33"/>
      <c r="W40" s="33"/>
      <c r="X40" s="33"/>
      <c r="Y40" s="33"/>
      <c r="Z40" s="21"/>
      <c r="AA40" s="34"/>
      <c r="AD40" s="9">
        <v>-24314769913</v>
      </c>
      <c r="AM40" s="203"/>
      <c r="AN40" s="203"/>
    </row>
    <row r="41" spans="1:4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07">
        <v>0</v>
      </c>
      <c r="Q41" s="22"/>
      <c r="R41" s="33"/>
      <c r="S41" s="33"/>
      <c r="T41" s="33"/>
      <c r="U41" s="33"/>
      <c r="V41" s="33"/>
      <c r="W41" s="33"/>
      <c r="X41" s="33"/>
      <c r="Y41" s="33"/>
      <c r="Z41" s="21"/>
      <c r="AA41" s="34"/>
      <c r="AD41" s="9">
        <v>0</v>
      </c>
      <c r="AM41" s="203"/>
      <c r="AN41" s="203"/>
    </row>
    <row r="42" spans="1:4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07">
        <v>0</v>
      </c>
      <c r="Q42" s="22"/>
      <c r="R42" s="33"/>
      <c r="S42" s="33"/>
      <c r="T42" s="33"/>
      <c r="U42" s="33"/>
      <c r="V42" s="33"/>
      <c r="W42" s="33"/>
      <c r="X42" s="33"/>
      <c r="Y42" s="33"/>
      <c r="Z42" s="21"/>
      <c r="AA42" s="34"/>
      <c r="AD42" s="9">
        <v>0</v>
      </c>
      <c r="AM42" s="203"/>
      <c r="AN42" s="203"/>
    </row>
    <row r="43" spans="1:4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07">
        <v>0</v>
      </c>
      <c r="Q43" s="22"/>
      <c r="R43" s="33"/>
      <c r="S43" s="33"/>
      <c r="T43" s="33"/>
      <c r="U43" s="33"/>
      <c r="V43" s="33"/>
      <c r="W43" s="33"/>
      <c r="X43" s="33"/>
      <c r="Y43" s="33"/>
      <c r="Z43" s="21"/>
      <c r="AA43" s="34"/>
      <c r="AD43" s="9">
        <v>0</v>
      </c>
      <c r="AM43" s="203"/>
      <c r="AN43" s="203"/>
    </row>
    <row r="44" spans="1:4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07">
        <v>0</v>
      </c>
      <c r="Q44" s="22"/>
      <c r="R44" s="33"/>
      <c r="S44" s="33"/>
      <c r="T44" s="33"/>
      <c r="U44" s="33"/>
      <c r="V44" s="33"/>
      <c r="W44" s="33"/>
      <c r="X44" s="33"/>
      <c r="Y44" s="33"/>
      <c r="Z44" s="21"/>
      <c r="AA44" s="34"/>
      <c r="AD44" s="9">
        <v>0</v>
      </c>
      <c r="AM44" s="203"/>
      <c r="AN44" s="203"/>
    </row>
    <row r="45" spans="1:4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07">
        <v>43876002</v>
      </c>
      <c r="Q45" s="22"/>
      <c r="R45" s="33"/>
      <c r="S45" s="33"/>
      <c r="T45" s="33"/>
      <c r="U45" s="33"/>
      <c r="V45" s="33"/>
      <c r="W45" s="33"/>
      <c r="X45" s="33"/>
      <c r="Y45" s="33"/>
      <c r="Z45" s="21"/>
      <c r="AA45" s="34"/>
      <c r="AD45" s="9">
        <v>43876002</v>
      </c>
      <c r="AM45" s="203"/>
      <c r="AN45" s="203"/>
    </row>
    <row r="46" spans="1:40" ht="14.65" customHeight="1" x14ac:dyDescent="0.15">
      <c r="A46" s="7" t="s">
        <v>65</v>
      </c>
      <c r="D46" s="24"/>
      <c r="E46" s="19"/>
      <c r="F46" s="19"/>
      <c r="G46" s="19" t="s">
        <v>66</v>
      </c>
      <c r="H46" s="26"/>
      <c r="I46" s="26"/>
      <c r="J46" s="26"/>
      <c r="K46" s="27"/>
      <c r="L46" s="27"/>
      <c r="M46" s="27"/>
      <c r="N46" s="27"/>
      <c r="O46" s="27"/>
      <c r="P46" s="207">
        <v>6429598078</v>
      </c>
      <c r="Q46" s="22"/>
      <c r="R46" s="33"/>
      <c r="S46" s="33"/>
      <c r="T46" s="33"/>
      <c r="U46" s="33"/>
      <c r="V46" s="33"/>
      <c r="W46" s="33"/>
      <c r="X46" s="33"/>
      <c r="Y46" s="33"/>
      <c r="Z46" s="21"/>
      <c r="AA46" s="34"/>
      <c r="AD46" s="9">
        <v>6429598078</v>
      </c>
      <c r="AM46" s="203"/>
      <c r="AN46" s="203"/>
    </row>
    <row r="47" spans="1:40" ht="14.65" customHeight="1" x14ac:dyDescent="0.15">
      <c r="A47" s="7" t="s">
        <v>67</v>
      </c>
      <c r="D47" s="24"/>
      <c r="E47" s="19"/>
      <c r="F47" s="19"/>
      <c r="G47" s="19" t="s">
        <v>68</v>
      </c>
      <c r="H47" s="26"/>
      <c r="I47" s="26"/>
      <c r="J47" s="26"/>
      <c r="K47" s="27"/>
      <c r="L47" s="27"/>
      <c r="M47" s="27"/>
      <c r="N47" s="27"/>
      <c r="O47" s="27"/>
      <c r="P47" s="207">
        <f>-4437506978+796370</f>
        <v>-4436710608</v>
      </c>
      <c r="Q47" s="22"/>
      <c r="R47" s="33"/>
      <c r="S47" s="33"/>
      <c r="T47" s="33"/>
      <c r="U47" s="33"/>
      <c r="V47" s="33"/>
      <c r="W47" s="33"/>
      <c r="X47" s="33"/>
      <c r="Y47" s="33"/>
      <c r="Z47" s="21"/>
      <c r="AA47" s="34"/>
      <c r="AD47" s="9">
        <v>-4437506978</v>
      </c>
      <c r="AM47" s="203"/>
      <c r="AN47" s="203"/>
    </row>
    <row r="48" spans="1:40" ht="14.65" customHeight="1" x14ac:dyDescent="0.15">
      <c r="A48" s="7">
        <v>1305000</v>
      </c>
      <c r="D48" s="24"/>
      <c r="E48" s="19"/>
      <c r="F48" s="19"/>
      <c r="G48" s="19" t="s">
        <v>69</v>
      </c>
      <c r="H48" s="26"/>
      <c r="I48" s="26"/>
      <c r="J48" s="26"/>
      <c r="K48" s="27"/>
      <c r="L48" s="27"/>
      <c r="M48" s="27"/>
      <c r="N48" s="27"/>
      <c r="O48" s="27"/>
      <c r="P48" s="207">
        <v>0</v>
      </c>
      <c r="Q48" s="22"/>
      <c r="R48" s="33"/>
      <c r="S48" s="33"/>
      <c r="T48" s="33"/>
      <c r="U48" s="33"/>
      <c r="V48" s="33"/>
      <c r="W48" s="33"/>
      <c r="X48" s="33"/>
      <c r="Y48" s="33"/>
      <c r="Z48" s="21"/>
      <c r="AA48" s="34"/>
      <c r="AD48" s="9">
        <v>0</v>
      </c>
      <c r="AM48" s="203"/>
      <c r="AN48" s="203"/>
    </row>
    <row r="49" spans="1:40" ht="14.65" customHeight="1" x14ac:dyDescent="0.15">
      <c r="A49" s="7" t="s">
        <v>70</v>
      </c>
      <c r="D49" s="24"/>
      <c r="E49" s="19"/>
      <c r="F49" s="19" t="s">
        <v>71</v>
      </c>
      <c r="G49" s="19"/>
      <c r="H49" s="26"/>
      <c r="I49" s="26"/>
      <c r="J49" s="26"/>
      <c r="K49" s="27"/>
      <c r="L49" s="27"/>
      <c r="M49" s="27"/>
      <c r="N49" s="27"/>
      <c r="O49" s="27"/>
      <c r="P49" s="207">
        <v>44032784</v>
      </c>
      <c r="Q49" s="22"/>
      <c r="R49" s="33"/>
      <c r="S49" s="33"/>
      <c r="T49" s="33"/>
      <c r="U49" s="33"/>
      <c r="V49" s="33"/>
      <c r="W49" s="33"/>
      <c r="X49" s="33"/>
      <c r="Y49" s="33"/>
      <c r="Z49" s="21"/>
      <c r="AA49" s="34"/>
      <c r="AD49" s="9">
        <f>IF(COUNTIF(AD50:AD51,"-")=COUNTA(AD50:AD51),"-",SUM(AD50:AD51))</f>
        <v>44032784</v>
      </c>
      <c r="AM49" s="203"/>
      <c r="AN49" s="203"/>
    </row>
    <row r="50" spans="1:4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07">
        <v>43829384</v>
      </c>
      <c r="Q50" s="22"/>
      <c r="R50" s="33"/>
      <c r="S50" s="33"/>
      <c r="T50" s="33"/>
      <c r="U50" s="33"/>
      <c r="V50" s="33"/>
      <c r="W50" s="33"/>
      <c r="X50" s="33"/>
      <c r="Y50" s="33"/>
      <c r="Z50" s="21"/>
      <c r="AA50" s="34"/>
      <c r="AD50" s="9">
        <v>43829384</v>
      </c>
      <c r="AM50" s="203"/>
      <c r="AN50" s="203"/>
    </row>
    <row r="51" spans="1:4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07">
        <v>203400</v>
      </c>
      <c r="Q51" s="22"/>
      <c r="R51" s="33"/>
      <c r="S51" s="33"/>
      <c r="T51" s="33"/>
      <c r="U51" s="33"/>
      <c r="V51" s="33"/>
      <c r="W51" s="33"/>
      <c r="X51" s="33"/>
      <c r="Y51" s="33"/>
      <c r="Z51" s="21"/>
      <c r="AA51" s="34"/>
      <c r="AD51" s="9">
        <v>203400</v>
      </c>
      <c r="AM51" s="203"/>
      <c r="AN51" s="203"/>
    </row>
    <row r="52" spans="1:4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07">
        <v>3629021022</v>
      </c>
      <c r="Q52" s="22"/>
      <c r="R52" s="33"/>
      <c r="S52" s="33"/>
      <c r="T52" s="33"/>
      <c r="U52" s="33"/>
      <c r="V52" s="33"/>
      <c r="W52" s="33"/>
      <c r="X52" s="33"/>
      <c r="Y52" s="33"/>
      <c r="Z52" s="21"/>
      <c r="AA52" s="34"/>
      <c r="AD52" s="9">
        <f>IF(COUNTIF(AD53:AD63,"-")=COUNTA(AD53:AD63),"-",SUM(AD53,AD57:AD59,AD62:AD63))</f>
        <v>3629021022</v>
      </c>
      <c r="AM52" s="203"/>
      <c r="AN52" s="203"/>
    </row>
    <row r="53" spans="1:4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07">
        <v>18107390</v>
      </c>
      <c r="Q53" s="22"/>
      <c r="R53" s="33"/>
      <c r="S53" s="33"/>
      <c r="T53" s="33"/>
      <c r="U53" s="33"/>
      <c r="V53" s="33"/>
      <c r="W53" s="33"/>
      <c r="X53" s="33"/>
      <c r="Y53" s="33"/>
      <c r="Z53" s="21"/>
      <c r="AA53" s="34"/>
      <c r="AD53" s="9">
        <f>IF(COUNTIF(AD54:AD56,"-")=COUNTA(AD54:AD56),"-",SUM(AD54:AD56))</f>
        <v>18107390</v>
      </c>
      <c r="AM53" s="203"/>
      <c r="AN53" s="203"/>
    </row>
    <row r="54" spans="1:4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07">
        <v>1500000</v>
      </c>
      <c r="Q54" s="22"/>
      <c r="R54" s="33"/>
      <c r="S54" s="33"/>
      <c r="T54" s="33"/>
      <c r="U54" s="33"/>
      <c r="V54" s="33"/>
      <c r="W54" s="33"/>
      <c r="X54" s="33"/>
      <c r="Y54" s="33"/>
      <c r="Z54" s="21"/>
      <c r="AA54" s="34"/>
      <c r="AD54" s="9">
        <v>1500000</v>
      </c>
      <c r="AM54" s="203"/>
      <c r="AN54" s="203"/>
    </row>
    <row r="55" spans="1:4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07">
        <v>16098000</v>
      </c>
      <c r="Q55" s="22"/>
      <c r="R55" s="33"/>
      <c r="S55" s="33"/>
      <c r="T55" s="33"/>
      <c r="U55" s="33"/>
      <c r="V55" s="33"/>
      <c r="W55" s="33"/>
      <c r="X55" s="33"/>
      <c r="Y55" s="33"/>
      <c r="Z55" s="21"/>
      <c r="AA55" s="34"/>
      <c r="AD55" s="9">
        <v>16098000</v>
      </c>
      <c r="AM55" s="203"/>
      <c r="AN55" s="203"/>
    </row>
    <row r="56" spans="1:4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07">
        <v>509390</v>
      </c>
      <c r="Q56" s="22"/>
      <c r="R56" s="33"/>
      <c r="S56" s="33"/>
      <c r="T56" s="33"/>
      <c r="U56" s="33"/>
      <c r="V56" s="33"/>
      <c r="W56" s="33"/>
      <c r="X56" s="33"/>
      <c r="Y56" s="33"/>
      <c r="Z56" s="21"/>
      <c r="AA56" s="34"/>
      <c r="AD56" s="9">
        <v>509390</v>
      </c>
      <c r="AM56" s="203"/>
      <c r="AN56" s="203"/>
    </row>
    <row r="57" spans="1:4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07">
        <v>563164624</v>
      </c>
      <c r="Q57" s="22"/>
      <c r="R57" s="33"/>
      <c r="S57" s="33"/>
      <c r="T57" s="33"/>
      <c r="U57" s="33"/>
      <c r="V57" s="33"/>
      <c r="W57" s="33"/>
      <c r="X57" s="33"/>
      <c r="Y57" s="33"/>
      <c r="Z57" s="21"/>
      <c r="AA57" s="34"/>
      <c r="AD57" s="9">
        <v>563164624</v>
      </c>
      <c r="AM57" s="203"/>
      <c r="AN57" s="203"/>
    </row>
    <row r="58" spans="1:4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07">
        <v>7263120</v>
      </c>
      <c r="Q58" s="22"/>
      <c r="R58" s="33"/>
      <c r="S58" s="33"/>
      <c r="T58" s="33"/>
      <c r="U58" s="33"/>
      <c r="V58" s="33"/>
      <c r="W58" s="33"/>
      <c r="X58" s="33"/>
      <c r="Y58" s="33"/>
      <c r="Z58" s="21"/>
      <c r="AA58" s="34"/>
      <c r="AD58" s="9">
        <v>7263120</v>
      </c>
      <c r="AM58" s="203"/>
      <c r="AN58" s="203"/>
    </row>
    <row r="59" spans="1:4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07">
        <v>3124050955</v>
      </c>
      <c r="Q59" s="22"/>
      <c r="R59" s="33"/>
      <c r="S59" s="33"/>
      <c r="T59" s="33"/>
      <c r="U59" s="33"/>
      <c r="V59" s="33"/>
      <c r="W59" s="33"/>
      <c r="X59" s="33"/>
      <c r="Y59" s="33"/>
      <c r="Z59" s="21"/>
      <c r="AA59" s="34"/>
      <c r="AD59" s="9">
        <f>IF(COUNTIF(AD60:AD61,"-")=COUNTA(AD60:AD61),"-",SUM(AD60:AD61))</f>
        <v>3124050955</v>
      </c>
      <c r="AM59" s="203"/>
      <c r="AN59" s="203"/>
    </row>
    <row r="60" spans="1:40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07">
        <v>0</v>
      </c>
      <c r="Q60" s="22"/>
      <c r="R60" s="33"/>
      <c r="S60" s="33"/>
      <c r="T60" s="33"/>
      <c r="U60" s="33"/>
      <c r="V60" s="33"/>
      <c r="W60" s="33"/>
      <c r="X60" s="33"/>
      <c r="Y60" s="33"/>
      <c r="Z60" s="21"/>
      <c r="AA60" s="34"/>
      <c r="AD60" s="9">
        <v>0</v>
      </c>
      <c r="AM60" s="203"/>
      <c r="AN60" s="203"/>
    </row>
    <row r="61" spans="1:40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07">
        <v>3124050955</v>
      </c>
      <c r="Q61" s="22"/>
      <c r="R61" s="33"/>
      <c r="S61" s="33"/>
      <c r="T61" s="33"/>
      <c r="U61" s="33"/>
      <c r="V61" s="33"/>
      <c r="W61" s="33"/>
      <c r="X61" s="33"/>
      <c r="Y61" s="33"/>
      <c r="Z61" s="21"/>
      <c r="AA61" s="34"/>
      <c r="AD61" s="9">
        <v>3124050955</v>
      </c>
      <c r="AM61" s="203"/>
      <c r="AN61" s="203"/>
    </row>
    <row r="62" spans="1:40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07">
        <v>8211581</v>
      </c>
      <c r="Q62" s="22"/>
      <c r="R62" s="33"/>
      <c r="S62" s="33"/>
      <c r="T62" s="33"/>
      <c r="U62" s="33"/>
      <c r="V62" s="33"/>
      <c r="W62" s="33"/>
      <c r="X62" s="33"/>
      <c r="Y62" s="33"/>
      <c r="Z62" s="21"/>
      <c r="AA62" s="34"/>
      <c r="AD62" s="9">
        <v>8211581</v>
      </c>
      <c r="AM62" s="203"/>
      <c r="AN62" s="203"/>
    </row>
    <row r="63" spans="1:40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07">
        <v>-91776648</v>
      </c>
      <c r="Q63" s="22"/>
      <c r="R63" s="33"/>
      <c r="S63" s="33"/>
      <c r="T63" s="33"/>
      <c r="U63" s="33"/>
      <c r="V63" s="33"/>
      <c r="W63" s="33"/>
      <c r="X63" s="33"/>
      <c r="Y63" s="33"/>
      <c r="Z63" s="21"/>
      <c r="AA63" s="34"/>
      <c r="AD63" s="9">
        <v>-91776648</v>
      </c>
      <c r="AM63" s="203"/>
      <c r="AN63" s="203"/>
    </row>
    <row r="64" spans="1:40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07">
        <f>4882530512-11668171</f>
        <v>4870862341</v>
      </c>
      <c r="Q64" s="22"/>
      <c r="R64" s="33"/>
      <c r="S64" s="33"/>
      <c r="T64" s="33"/>
      <c r="U64" s="33"/>
      <c r="V64" s="33"/>
      <c r="W64" s="33"/>
      <c r="X64" s="33"/>
      <c r="Y64" s="33"/>
      <c r="Z64" s="21"/>
      <c r="AA64" s="34"/>
      <c r="AD64" s="9">
        <f>IF(COUNTIF(AD65:AD73,"-")=COUNTA(AD65:AD73),"-",SUM(AD65:AD68,AD71:AD73))</f>
        <v>4882530512</v>
      </c>
      <c r="AM64" s="203"/>
      <c r="AN64" s="203"/>
    </row>
    <row r="65" spans="1:40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07">
        <f>3520501179+5459189</f>
        <v>3525960368</v>
      </c>
      <c r="Q65" s="22"/>
      <c r="R65" s="33"/>
      <c r="S65" s="33"/>
      <c r="T65" s="33"/>
      <c r="U65" s="33"/>
      <c r="V65" s="33"/>
      <c r="W65" s="33"/>
      <c r="X65" s="33"/>
      <c r="Y65" s="33"/>
      <c r="Z65" s="21"/>
      <c r="AA65" s="34"/>
      <c r="AD65" s="9">
        <v>3520501179</v>
      </c>
      <c r="AM65" s="203"/>
      <c r="AN65" s="203"/>
    </row>
    <row r="66" spans="1:40" ht="14.65" customHeight="1" x14ac:dyDescent="0.15">
      <c r="A66" s="7" t="s">
        <v>100</v>
      </c>
      <c r="D66" s="24"/>
      <c r="E66" s="18"/>
      <c r="F66" s="19" t="s">
        <v>101</v>
      </c>
      <c r="G66" s="19"/>
      <c r="H66" s="26"/>
      <c r="I66" s="19"/>
      <c r="J66" s="19"/>
      <c r="K66" s="18"/>
      <c r="L66" s="18"/>
      <c r="M66" s="18"/>
      <c r="N66" s="18"/>
      <c r="O66" s="18"/>
      <c r="P66" s="207">
        <f>246770688-17127360</f>
        <v>229643328</v>
      </c>
      <c r="Q66" s="22"/>
      <c r="R66" s="33"/>
      <c r="S66" s="33"/>
      <c r="T66" s="33"/>
      <c r="U66" s="33"/>
      <c r="V66" s="33"/>
      <c r="W66" s="33"/>
      <c r="X66" s="33"/>
      <c r="Y66" s="33"/>
      <c r="Z66" s="21"/>
      <c r="AA66" s="34"/>
      <c r="AD66" s="9">
        <v>246770688</v>
      </c>
      <c r="AM66" s="203"/>
      <c r="AN66" s="203"/>
    </row>
    <row r="67" spans="1:40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07">
        <v>2194320</v>
      </c>
      <c r="Q67" s="22"/>
      <c r="R67" s="33"/>
      <c r="S67" s="33"/>
      <c r="T67" s="33"/>
      <c r="U67" s="33"/>
      <c r="V67" s="33"/>
      <c r="W67" s="33"/>
      <c r="X67" s="33"/>
      <c r="Y67" s="33"/>
      <c r="Z67" s="21"/>
      <c r="AA67" s="34"/>
      <c r="AD67" s="9">
        <v>2194320</v>
      </c>
      <c r="AM67" s="203"/>
      <c r="AN67" s="203"/>
    </row>
    <row r="68" spans="1:40" ht="14.65" customHeight="1" x14ac:dyDescent="0.15">
      <c r="A68" s="7" t="s">
        <v>103</v>
      </c>
      <c r="D68" s="24"/>
      <c r="E68" s="19"/>
      <c r="F68" s="19" t="s">
        <v>89</v>
      </c>
      <c r="G68" s="19"/>
      <c r="H68" s="26"/>
      <c r="I68" s="19"/>
      <c r="J68" s="19"/>
      <c r="K68" s="18"/>
      <c r="L68" s="18"/>
      <c r="M68" s="18"/>
      <c r="N68" s="18"/>
      <c r="O68" s="18"/>
      <c r="P68" s="207">
        <v>1084026612</v>
      </c>
      <c r="Q68" s="22"/>
      <c r="R68" s="33"/>
      <c r="S68" s="33"/>
      <c r="T68" s="33"/>
      <c r="U68" s="33"/>
      <c r="V68" s="33"/>
      <c r="W68" s="33"/>
      <c r="X68" s="33"/>
      <c r="Y68" s="33"/>
      <c r="Z68" s="21"/>
      <c r="AA68" s="34"/>
      <c r="AD68" s="9">
        <f>IF(COUNTIF(AD69:AD70,"-")=COUNTA(AD69:AD70),"-",SUM(AD69:AD70))</f>
        <v>1084026612</v>
      </c>
      <c r="AM68" s="203"/>
      <c r="AN68" s="203"/>
    </row>
    <row r="69" spans="1:40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07">
        <v>1058101590</v>
      </c>
      <c r="Q69" s="22"/>
      <c r="R69" s="33"/>
      <c r="S69" s="33"/>
      <c r="T69" s="33"/>
      <c r="U69" s="33"/>
      <c r="V69" s="33"/>
      <c r="W69" s="33"/>
      <c r="X69" s="33"/>
      <c r="Y69" s="33"/>
      <c r="Z69" s="21"/>
      <c r="AA69" s="34"/>
      <c r="AD69" s="9">
        <v>1058101590</v>
      </c>
      <c r="AM69" s="203"/>
      <c r="AN69" s="203"/>
    </row>
    <row r="70" spans="1:40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07">
        <v>25925022</v>
      </c>
      <c r="Q70" s="22"/>
      <c r="R70" s="33"/>
      <c r="S70" s="33"/>
      <c r="T70" s="33"/>
      <c r="U70" s="33"/>
      <c r="V70" s="33"/>
      <c r="W70" s="33"/>
      <c r="X70" s="33"/>
      <c r="Y70" s="33"/>
      <c r="Z70" s="21"/>
      <c r="AA70" s="34"/>
      <c r="AD70" s="9">
        <v>25925022</v>
      </c>
      <c r="AM70" s="203"/>
      <c r="AN70" s="203"/>
    </row>
    <row r="71" spans="1:40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07">
        <v>33203568</v>
      </c>
      <c r="Q71" s="22"/>
      <c r="R71" s="33"/>
      <c r="S71" s="33"/>
      <c r="T71" s="33"/>
      <c r="U71" s="33"/>
      <c r="V71" s="33"/>
      <c r="W71" s="33"/>
      <c r="X71" s="33"/>
      <c r="Y71" s="33"/>
      <c r="Z71" s="21"/>
      <c r="AA71" s="34"/>
      <c r="AD71" s="9">
        <v>33203568</v>
      </c>
      <c r="AM71" s="203"/>
      <c r="AN71" s="203"/>
    </row>
    <row r="72" spans="1:40" ht="14.65" customHeight="1" x14ac:dyDescent="0.15">
      <c r="A72" s="7" t="s">
        <v>109</v>
      </c>
      <c r="D72" s="24"/>
      <c r="E72" s="19"/>
      <c r="F72" s="19" t="s">
        <v>45</v>
      </c>
      <c r="G72" s="19"/>
      <c r="H72" s="26"/>
      <c r="I72" s="19"/>
      <c r="J72" s="19"/>
      <c r="K72" s="18"/>
      <c r="L72" s="18"/>
      <c r="M72" s="18"/>
      <c r="N72" s="18"/>
      <c r="O72" s="18"/>
      <c r="P72" s="207">
        <v>1987321</v>
      </c>
      <c r="Q72" s="22"/>
      <c r="R72" s="33"/>
      <c r="S72" s="33"/>
      <c r="T72" s="33"/>
      <c r="U72" s="33"/>
      <c r="V72" s="33"/>
      <c r="W72" s="33"/>
      <c r="X72" s="33"/>
      <c r="Y72" s="33"/>
      <c r="Z72" s="21"/>
      <c r="AA72" s="34"/>
      <c r="AD72" s="9">
        <v>1987321</v>
      </c>
      <c r="AM72" s="203"/>
      <c r="AN72" s="203"/>
    </row>
    <row r="73" spans="1:40" ht="14.65" customHeight="1" x14ac:dyDescent="0.15">
      <c r="A73" s="7" t="s">
        <v>110</v>
      </c>
      <c r="D73" s="24"/>
      <c r="E73" s="19"/>
      <c r="F73" s="33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07">
        <v>-6153176</v>
      </c>
      <c r="Q73" s="22"/>
      <c r="R73" s="239"/>
      <c r="S73" s="240"/>
      <c r="T73" s="240"/>
      <c r="U73" s="240"/>
      <c r="V73" s="240"/>
      <c r="W73" s="240"/>
      <c r="X73" s="240"/>
      <c r="Y73" s="241"/>
      <c r="Z73" s="35"/>
      <c r="AA73" s="36"/>
      <c r="AD73" s="9">
        <v>-6153176</v>
      </c>
      <c r="AM73" s="203"/>
      <c r="AN73" s="203"/>
    </row>
    <row r="74" spans="1:40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07">
        <v>0</v>
      </c>
      <c r="Q74" s="22"/>
      <c r="R74" s="242" t="s">
        <v>142</v>
      </c>
      <c r="S74" s="243"/>
      <c r="T74" s="243"/>
      <c r="U74" s="243"/>
      <c r="V74" s="243"/>
      <c r="W74" s="243"/>
      <c r="X74" s="243"/>
      <c r="Y74" s="244"/>
      <c r="Z74" s="209">
        <f>41090056232-56663669</f>
        <v>41033392563</v>
      </c>
      <c r="AA74" s="37"/>
      <c r="AD74" s="9">
        <v>0</v>
      </c>
      <c r="AE74" s="9">
        <f>IF(AND(AE24="-",AE25="-",AE26="-"),"-",SUM(AE24,AE25,AE26))</f>
        <v>41090056232</v>
      </c>
      <c r="AM74" s="203"/>
      <c r="AN74" s="203"/>
    </row>
    <row r="75" spans="1:40" ht="14.65" customHeight="1" thickBot="1" x14ac:dyDescent="0.2">
      <c r="A75" s="7" t="s">
        <v>2</v>
      </c>
      <c r="B75" s="7" t="s">
        <v>112</v>
      </c>
      <c r="D75" s="245" t="s">
        <v>3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7"/>
      <c r="P75" s="210">
        <f>69006885438+40493063</f>
        <v>69047378501</v>
      </c>
      <c r="Q75" s="211"/>
      <c r="R75" s="230" t="s">
        <v>342</v>
      </c>
      <c r="S75" s="231"/>
      <c r="T75" s="231"/>
      <c r="U75" s="231"/>
      <c r="V75" s="231"/>
      <c r="W75" s="231"/>
      <c r="X75" s="231"/>
      <c r="Y75" s="248"/>
      <c r="Z75" s="210">
        <f>69006885438+40493063</f>
        <v>69047378501</v>
      </c>
      <c r="AA75" s="38"/>
      <c r="AD75" s="9">
        <f>IF(AND(AD7="-",AD64="-",AD74="-"),"-",SUM(AD7,AD64,AD74))</f>
        <v>69006885438</v>
      </c>
      <c r="AE75" s="9">
        <f>IF(AND(AE22="-",AE74="-"),"-",SUM(AE22,AE74))</f>
        <v>69006885438</v>
      </c>
      <c r="AM75" s="203"/>
      <c r="AN75" s="203"/>
    </row>
    <row r="76" spans="1:40" ht="9.75" customHeight="1" x14ac:dyDescent="0.15"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Z76" s="18"/>
      <c r="AA76" s="18"/>
    </row>
    <row r="77" spans="1:40" ht="14.65" customHeight="1" x14ac:dyDescent="0.15">
      <c r="D77" s="40"/>
      <c r="E77" s="41"/>
      <c r="F77" s="40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39"/>
      <c r="AA77" s="39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D42" sqref="D42"/>
    </sheetView>
  </sheetViews>
  <sheetFormatPr defaultRowHeight="13.5" x14ac:dyDescent="0.15"/>
  <cols>
    <col min="1" max="1" width="0" style="44" hidden="1" customWidth="1"/>
    <col min="2" max="2" width="0.625" style="6" customWidth="1"/>
    <col min="3" max="3" width="1.25" style="71" customWidth="1"/>
    <col min="4" max="12" width="2.125" style="71" customWidth="1"/>
    <col min="13" max="13" width="18.375" style="71" customWidth="1"/>
    <col min="14" max="14" width="24.125" style="71" bestFit="1" customWidth="1"/>
    <col min="15" max="15" width="2.5" style="71" customWidth="1"/>
    <col min="16" max="16" width="0.625" style="71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3"/>
      <c r="P1" s="43"/>
    </row>
    <row r="2" spans="1:39" ht="24" x14ac:dyDescent="0.2">
      <c r="C2" s="249" t="s">
        <v>353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5"/>
    </row>
    <row r="3" spans="1:39" ht="17.25" x14ac:dyDescent="0.2">
      <c r="C3" s="250" t="s">
        <v>354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45"/>
    </row>
    <row r="4" spans="1:39" ht="17.25" x14ac:dyDescent="0.2">
      <c r="C4" s="250" t="s">
        <v>355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45"/>
    </row>
    <row r="5" spans="1:39" ht="18" thickBot="1" x14ac:dyDescent="0.25">
      <c r="C5" s="46"/>
      <c r="D5" s="45"/>
      <c r="E5" s="45"/>
      <c r="F5" s="45"/>
      <c r="G5" s="45"/>
      <c r="H5" s="45"/>
      <c r="I5" s="45"/>
      <c r="J5" s="45"/>
      <c r="K5" s="45"/>
      <c r="L5" s="45"/>
      <c r="M5" s="47"/>
      <c r="N5" s="45"/>
      <c r="O5" s="47" t="s">
        <v>0</v>
      </c>
      <c r="P5" s="45"/>
    </row>
    <row r="6" spans="1:39" ht="18" thickBot="1" x14ac:dyDescent="0.25">
      <c r="A6" s="44" t="s">
        <v>330</v>
      </c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332</v>
      </c>
      <c r="O6" s="254"/>
      <c r="P6" s="45"/>
    </row>
    <row r="7" spans="1:39" x14ac:dyDescent="0.15">
      <c r="A7" s="44" t="s">
        <v>151</v>
      </c>
      <c r="C7" s="48"/>
      <c r="D7" s="49" t="s">
        <v>152</v>
      </c>
      <c r="E7" s="49"/>
      <c r="F7" s="50"/>
      <c r="G7" s="49"/>
      <c r="H7" s="49"/>
      <c r="I7" s="49"/>
      <c r="J7" s="49"/>
      <c r="K7" s="50"/>
      <c r="L7" s="50"/>
      <c r="M7" s="50"/>
      <c r="N7" s="212">
        <f>33598998568-1294446891</f>
        <v>32304551677</v>
      </c>
      <c r="O7" s="51"/>
      <c r="P7" s="52"/>
      <c r="AM7" s="200"/>
    </row>
    <row r="8" spans="1:39" x14ac:dyDescent="0.15">
      <c r="A8" s="44" t="s">
        <v>153</v>
      </c>
      <c r="C8" s="48"/>
      <c r="D8" s="49"/>
      <c r="E8" s="49" t="s">
        <v>154</v>
      </c>
      <c r="F8" s="49"/>
      <c r="G8" s="49"/>
      <c r="H8" s="49"/>
      <c r="I8" s="49"/>
      <c r="J8" s="49"/>
      <c r="K8" s="50"/>
      <c r="L8" s="50"/>
      <c r="M8" s="50"/>
      <c r="N8" s="212">
        <f>13717568621-1286069024</f>
        <v>12431499597</v>
      </c>
      <c r="O8" s="53"/>
      <c r="P8" s="52"/>
      <c r="AM8" s="200"/>
    </row>
    <row r="9" spans="1:39" x14ac:dyDescent="0.15">
      <c r="A9" s="44" t="s">
        <v>155</v>
      </c>
      <c r="C9" s="48"/>
      <c r="D9" s="49"/>
      <c r="E9" s="49"/>
      <c r="F9" s="49" t="s">
        <v>156</v>
      </c>
      <c r="G9" s="49"/>
      <c r="H9" s="49"/>
      <c r="I9" s="49"/>
      <c r="J9" s="49"/>
      <c r="K9" s="50"/>
      <c r="L9" s="50"/>
      <c r="M9" s="50"/>
      <c r="N9" s="212">
        <f>3305371875-37996851</f>
        <v>3267375024</v>
      </c>
      <c r="O9" s="53"/>
      <c r="P9" s="52"/>
      <c r="AM9" s="200"/>
    </row>
    <row r="10" spans="1:39" x14ac:dyDescent="0.15">
      <c r="A10" s="44" t="s">
        <v>157</v>
      </c>
      <c r="C10" s="48"/>
      <c r="D10" s="49"/>
      <c r="E10" s="49"/>
      <c r="F10" s="49"/>
      <c r="G10" s="49" t="s">
        <v>158</v>
      </c>
      <c r="H10" s="49"/>
      <c r="I10" s="49"/>
      <c r="J10" s="49"/>
      <c r="K10" s="50"/>
      <c r="L10" s="50"/>
      <c r="M10" s="50"/>
      <c r="N10" s="212">
        <f>2799758437-37971851</f>
        <v>2761786586</v>
      </c>
      <c r="O10" s="53"/>
      <c r="P10" s="52"/>
      <c r="AM10" s="200"/>
    </row>
    <row r="11" spans="1:39" x14ac:dyDescent="0.15">
      <c r="A11" s="44" t="s">
        <v>159</v>
      </c>
      <c r="C11" s="48"/>
      <c r="D11" s="49"/>
      <c r="E11" s="49"/>
      <c r="F11" s="49"/>
      <c r="G11" s="49" t="s">
        <v>160</v>
      </c>
      <c r="H11" s="49"/>
      <c r="I11" s="49"/>
      <c r="J11" s="49"/>
      <c r="K11" s="50"/>
      <c r="L11" s="50"/>
      <c r="M11" s="50"/>
      <c r="N11" s="212">
        <v>243299744</v>
      </c>
      <c r="O11" s="53"/>
      <c r="P11" s="52"/>
      <c r="AM11" s="200"/>
    </row>
    <row r="12" spans="1:39" x14ac:dyDescent="0.15">
      <c r="A12" s="44" t="s">
        <v>161</v>
      </c>
      <c r="C12" s="48"/>
      <c r="D12" s="49"/>
      <c r="E12" s="49"/>
      <c r="F12" s="49"/>
      <c r="G12" s="49" t="s">
        <v>162</v>
      </c>
      <c r="H12" s="49"/>
      <c r="I12" s="49"/>
      <c r="J12" s="49"/>
      <c r="K12" s="50"/>
      <c r="L12" s="50"/>
      <c r="M12" s="50"/>
      <c r="N12" s="212">
        <v>106812544</v>
      </c>
      <c r="O12" s="53"/>
      <c r="P12" s="52"/>
      <c r="AM12" s="200"/>
    </row>
    <row r="13" spans="1:39" x14ac:dyDescent="0.15">
      <c r="A13" s="44" t="s">
        <v>163</v>
      </c>
      <c r="C13" s="48"/>
      <c r="D13" s="49"/>
      <c r="E13" s="49"/>
      <c r="F13" s="49"/>
      <c r="G13" s="49" t="s">
        <v>45</v>
      </c>
      <c r="H13" s="49"/>
      <c r="I13" s="49"/>
      <c r="J13" s="49"/>
      <c r="K13" s="50"/>
      <c r="L13" s="50"/>
      <c r="M13" s="50"/>
      <c r="N13" s="212">
        <f>155501150-25000</f>
        <v>155476150</v>
      </c>
      <c r="O13" s="53"/>
      <c r="P13" s="52"/>
      <c r="AM13" s="200"/>
    </row>
    <row r="14" spans="1:39" x14ac:dyDescent="0.15">
      <c r="A14" s="44" t="s">
        <v>164</v>
      </c>
      <c r="C14" s="48"/>
      <c r="D14" s="49"/>
      <c r="E14" s="49"/>
      <c r="F14" s="49" t="s">
        <v>165</v>
      </c>
      <c r="G14" s="49"/>
      <c r="H14" s="49"/>
      <c r="I14" s="49"/>
      <c r="J14" s="49"/>
      <c r="K14" s="50"/>
      <c r="L14" s="50"/>
      <c r="M14" s="50"/>
      <c r="N14" s="212">
        <f>9668265951-1247487256</f>
        <v>8420778695</v>
      </c>
      <c r="O14" s="53"/>
      <c r="P14" s="52"/>
      <c r="AM14" s="200"/>
    </row>
    <row r="15" spans="1:39" x14ac:dyDescent="0.15">
      <c r="A15" s="44" t="s">
        <v>166</v>
      </c>
      <c r="C15" s="48"/>
      <c r="D15" s="49"/>
      <c r="E15" s="49"/>
      <c r="F15" s="49"/>
      <c r="G15" s="49" t="s">
        <v>167</v>
      </c>
      <c r="H15" s="49"/>
      <c r="I15" s="49"/>
      <c r="J15" s="49"/>
      <c r="K15" s="50"/>
      <c r="L15" s="50"/>
      <c r="M15" s="50"/>
      <c r="N15" s="212">
        <f>6765523662-963151996</f>
        <v>5802371666</v>
      </c>
      <c r="O15" s="53"/>
      <c r="P15" s="52"/>
      <c r="AM15" s="200"/>
    </row>
    <row r="16" spans="1:39" x14ac:dyDescent="0.15">
      <c r="A16" s="44" t="s">
        <v>168</v>
      </c>
      <c r="C16" s="48"/>
      <c r="D16" s="49"/>
      <c r="E16" s="49"/>
      <c r="F16" s="49"/>
      <c r="G16" s="49" t="s">
        <v>169</v>
      </c>
      <c r="H16" s="49"/>
      <c r="I16" s="49"/>
      <c r="J16" s="49"/>
      <c r="K16" s="50"/>
      <c r="L16" s="50"/>
      <c r="M16" s="50"/>
      <c r="N16" s="212">
        <f>212773009-257558</f>
        <v>212515451</v>
      </c>
      <c r="O16" s="53"/>
      <c r="P16" s="52"/>
      <c r="AM16" s="200"/>
    </row>
    <row r="17" spans="1:39" x14ac:dyDescent="0.15">
      <c r="A17" s="44" t="s">
        <v>170</v>
      </c>
      <c r="C17" s="48"/>
      <c r="D17" s="49"/>
      <c r="E17" s="49"/>
      <c r="F17" s="49"/>
      <c r="G17" s="49" t="s">
        <v>171</v>
      </c>
      <c r="H17" s="49"/>
      <c r="I17" s="49"/>
      <c r="J17" s="49"/>
      <c r="K17" s="50"/>
      <c r="L17" s="50"/>
      <c r="M17" s="50"/>
      <c r="N17" s="212">
        <f>2686256456-283989654</f>
        <v>2402266802</v>
      </c>
      <c r="O17" s="53"/>
      <c r="P17" s="52"/>
      <c r="AM17" s="200"/>
    </row>
    <row r="18" spans="1:39" x14ac:dyDescent="0.15">
      <c r="A18" s="44" t="s">
        <v>172</v>
      </c>
      <c r="C18" s="48"/>
      <c r="D18" s="49"/>
      <c r="E18" s="49"/>
      <c r="F18" s="49"/>
      <c r="G18" s="49" t="s">
        <v>45</v>
      </c>
      <c r="H18" s="49"/>
      <c r="I18" s="49"/>
      <c r="J18" s="49"/>
      <c r="K18" s="50"/>
      <c r="L18" s="50"/>
      <c r="M18" s="50"/>
      <c r="N18" s="212">
        <f>3712824-88048</f>
        <v>3624776</v>
      </c>
      <c r="O18" s="53"/>
      <c r="P18" s="52"/>
      <c r="AM18" s="200"/>
    </row>
    <row r="19" spans="1:39" x14ac:dyDescent="0.15">
      <c r="A19" s="44" t="s">
        <v>173</v>
      </c>
      <c r="C19" s="48"/>
      <c r="D19" s="49"/>
      <c r="E19" s="49"/>
      <c r="F19" s="49" t="s">
        <v>174</v>
      </c>
      <c r="G19" s="49"/>
      <c r="H19" s="49"/>
      <c r="I19" s="49"/>
      <c r="J19" s="49"/>
      <c r="K19" s="50"/>
      <c r="L19" s="50"/>
      <c r="M19" s="50"/>
      <c r="N19" s="212">
        <f>743930795-584917</f>
        <v>743345878</v>
      </c>
      <c r="O19" s="53"/>
      <c r="P19" s="52"/>
      <c r="AM19" s="200"/>
    </row>
    <row r="20" spans="1:39" x14ac:dyDescent="0.15">
      <c r="A20" s="44" t="s">
        <v>175</v>
      </c>
      <c r="C20" s="48"/>
      <c r="D20" s="49"/>
      <c r="E20" s="49"/>
      <c r="F20" s="50"/>
      <c r="G20" s="50" t="s">
        <v>176</v>
      </c>
      <c r="H20" s="50"/>
      <c r="I20" s="49"/>
      <c r="J20" s="49"/>
      <c r="K20" s="50"/>
      <c r="L20" s="50"/>
      <c r="M20" s="50"/>
      <c r="N20" s="212">
        <v>169360642</v>
      </c>
      <c r="O20" s="53"/>
      <c r="P20" s="52"/>
      <c r="AM20" s="200"/>
    </row>
    <row r="21" spans="1:39" x14ac:dyDescent="0.15">
      <c r="A21" s="44" t="s">
        <v>177</v>
      </c>
      <c r="C21" s="48"/>
      <c r="D21" s="49"/>
      <c r="E21" s="49"/>
      <c r="F21" s="50"/>
      <c r="G21" s="49" t="s">
        <v>178</v>
      </c>
      <c r="H21" s="49"/>
      <c r="I21" s="49"/>
      <c r="J21" s="49"/>
      <c r="K21" s="50"/>
      <c r="L21" s="50"/>
      <c r="M21" s="50"/>
      <c r="N21" s="212">
        <v>41369040</v>
      </c>
      <c r="O21" s="53"/>
      <c r="P21" s="52"/>
      <c r="AM21" s="200"/>
    </row>
    <row r="22" spans="1:39" x14ac:dyDescent="0.15">
      <c r="A22" s="44" t="s">
        <v>179</v>
      </c>
      <c r="C22" s="48"/>
      <c r="D22" s="49"/>
      <c r="E22" s="49"/>
      <c r="F22" s="50"/>
      <c r="G22" s="49" t="s">
        <v>45</v>
      </c>
      <c r="H22" s="49"/>
      <c r="I22" s="49"/>
      <c r="J22" s="49"/>
      <c r="K22" s="50"/>
      <c r="L22" s="50"/>
      <c r="M22" s="50"/>
      <c r="N22" s="212">
        <f>533201113-584917</f>
        <v>532616196</v>
      </c>
      <c r="O22" s="53"/>
      <c r="P22" s="52"/>
      <c r="AM22" s="200"/>
    </row>
    <row r="23" spans="1:39" x14ac:dyDescent="0.15">
      <c r="A23" s="44" t="s">
        <v>180</v>
      </c>
      <c r="C23" s="48"/>
      <c r="D23" s="49"/>
      <c r="E23" s="50" t="s">
        <v>181</v>
      </c>
      <c r="F23" s="50"/>
      <c r="G23" s="49"/>
      <c r="H23" s="49"/>
      <c r="I23" s="49"/>
      <c r="J23" s="49"/>
      <c r="K23" s="50"/>
      <c r="L23" s="50"/>
      <c r="M23" s="50"/>
      <c r="N23" s="212">
        <f>19881429947-8377867</f>
        <v>19873052080</v>
      </c>
      <c r="O23" s="53"/>
      <c r="P23" s="52"/>
      <c r="AM23" s="200"/>
    </row>
    <row r="24" spans="1:39" x14ac:dyDescent="0.15">
      <c r="A24" s="44" t="s">
        <v>182</v>
      </c>
      <c r="C24" s="48"/>
      <c r="D24" s="49"/>
      <c r="E24" s="49"/>
      <c r="F24" s="49" t="s">
        <v>183</v>
      </c>
      <c r="G24" s="49"/>
      <c r="H24" s="49"/>
      <c r="I24" s="49"/>
      <c r="J24" s="49"/>
      <c r="K24" s="50"/>
      <c r="L24" s="50"/>
      <c r="M24" s="50"/>
      <c r="N24" s="212">
        <f>10567910045-8345067</f>
        <v>10559564978</v>
      </c>
      <c r="O24" s="53"/>
      <c r="P24" s="52"/>
      <c r="AM24" s="200"/>
    </row>
    <row r="25" spans="1:39" x14ac:dyDescent="0.15">
      <c r="A25" s="44" t="s">
        <v>184</v>
      </c>
      <c r="C25" s="48"/>
      <c r="D25" s="49"/>
      <c r="E25" s="49"/>
      <c r="F25" s="49" t="s">
        <v>185</v>
      </c>
      <c r="G25" s="49"/>
      <c r="H25" s="49"/>
      <c r="I25" s="49"/>
      <c r="J25" s="49"/>
      <c r="K25" s="50"/>
      <c r="L25" s="50"/>
      <c r="M25" s="50"/>
      <c r="N25" s="212">
        <v>8310180778</v>
      </c>
      <c r="O25" s="53"/>
      <c r="P25" s="52"/>
      <c r="AM25" s="200"/>
    </row>
    <row r="26" spans="1:39" x14ac:dyDescent="0.15">
      <c r="A26" s="44" t="s">
        <v>186</v>
      </c>
      <c r="C26" s="48"/>
      <c r="D26" s="49"/>
      <c r="E26" s="49"/>
      <c r="F26" s="49" t="s">
        <v>187</v>
      </c>
      <c r="G26" s="49"/>
      <c r="H26" s="49"/>
      <c r="I26" s="49"/>
      <c r="J26" s="49"/>
      <c r="K26" s="50"/>
      <c r="L26" s="50"/>
      <c r="M26" s="50"/>
      <c r="N26" s="212">
        <v>1001562000</v>
      </c>
      <c r="O26" s="53"/>
      <c r="P26" s="52"/>
      <c r="AM26" s="200"/>
    </row>
    <row r="27" spans="1:39" x14ac:dyDescent="0.15">
      <c r="A27" s="44" t="s">
        <v>188</v>
      </c>
      <c r="C27" s="48"/>
      <c r="D27" s="49"/>
      <c r="E27" s="49"/>
      <c r="F27" s="49" t="s">
        <v>45</v>
      </c>
      <c r="G27" s="49"/>
      <c r="H27" s="49"/>
      <c r="I27" s="49"/>
      <c r="J27" s="49"/>
      <c r="K27" s="50"/>
      <c r="L27" s="50"/>
      <c r="M27" s="50"/>
      <c r="N27" s="213">
        <f>1777124-32800</f>
        <v>1744324</v>
      </c>
      <c r="O27" s="53"/>
      <c r="P27" s="52"/>
      <c r="AM27" s="200"/>
    </row>
    <row r="28" spans="1:39" x14ac:dyDescent="0.15">
      <c r="A28" s="44" t="s">
        <v>189</v>
      </c>
      <c r="C28" s="48"/>
      <c r="D28" s="49" t="s">
        <v>190</v>
      </c>
      <c r="E28" s="49"/>
      <c r="F28" s="49"/>
      <c r="G28" s="49"/>
      <c r="H28" s="49"/>
      <c r="I28" s="49"/>
      <c r="J28" s="49"/>
      <c r="K28" s="50"/>
      <c r="L28" s="50"/>
      <c r="M28" s="50"/>
      <c r="N28" s="212">
        <f>4315418059-260527400</f>
        <v>4054890659</v>
      </c>
      <c r="O28" s="53"/>
      <c r="P28" s="52"/>
      <c r="AM28" s="200"/>
    </row>
    <row r="29" spans="1:39" x14ac:dyDescent="0.15">
      <c r="A29" s="44" t="s">
        <v>191</v>
      </c>
      <c r="C29" s="48"/>
      <c r="D29" s="49"/>
      <c r="E29" s="49" t="s">
        <v>192</v>
      </c>
      <c r="F29" s="49"/>
      <c r="G29" s="49"/>
      <c r="H29" s="49"/>
      <c r="I29" s="49"/>
      <c r="J29" s="49"/>
      <c r="K29" s="54"/>
      <c r="L29" s="54"/>
      <c r="M29" s="54"/>
      <c r="N29" s="213">
        <f>1477850953-247979610</f>
        <v>1229871343</v>
      </c>
      <c r="O29" s="53"/>
      <c r="P29" s="52"/>
      <c r="AM29" s="200"/>
    </row>
    <row r="30" spans="1:39" x14ac:dyDescent="0.15">
      <c r="A30" s="44" t="s">
        <v>193</v>
      </c>
      <c r="C30" s="48"/>
      <c r="D30" s="49"/>
      <c r="E30" s="49" t="s">
        <v>45</v>
      </c>
      <c r="F30" s="49"/>
      <c r="G30" s="50"/>
      <c r="H30" s="49"/>
      <c r="I30" s="49"/>
      <c r="J30" s="49"/>
      <c r="K30" s="54"/>
      <c r="L30" s="54"/>
      <c r="M30" s="54"/>
      <c r="N30" s="213">
        <f>2837567106-12547790</f>
        <v>2825019316</v>
      </c>
      <c r="O30" s="53"/>
      <c r="P30" s="52"/>
      <c r="AM30" s="200"/>
    </row>
    <row r="31" spans="1:39" x14ac:dyDescent="0.15">
      <c r="A31" s="44" t="s">
        <v>149</v>
      </c>
      <c r="C31" s="55" t="s">
        <v>150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214">
        <f>-29283580509+1033919491</f>
        <v>-28249661018</v>
      </c>
      <c r="O31" s="58"/>
      <c r="P31" s="52"/>
      <c r="AM31" s="200"/>
    </row>
    <row r="32" spans="1:39" x14ac:dyDescent="0.15">
      <c r="A32" s="44" t="s">
        <v>196</v>
      </c>
      <c r="C32" s="48"/>
      <c r="D32" s="49" t="s">
        <v>197</v>
      </c>
      <c r="E32" s="49"/>
      <c r="F32" s="50"/>
      <c r="G32" s="49"/>
      <c r="H32" s="49"/>
      <c r="I32" s="49"/>
      <c r="J32" s="49"/>
      <c r="K32" s="50"/>
      <c r="L32" s="50"/>
      <c r="M32" s="50"/>
      <c r="N32" s="212">
        <v>44600328</v>
      </c>
      <c r="O32" s="51"/>
      <c r="P32" s="52"/>
      <c r="AM32" s="200"/>
    </row>
    <row r="33" spans="1:39" x14ac:dyDescent="0.15">
      <c r="A33" s="44" t="s">
        <v>198</v>
      </c>
      <c r="C33" s="48"/>
      <c r="D33" s="49"/>
      <c r="E33" s="50" t="s">
        <v>199</v>
      </c>
      <c r="F33" s="50"/>
      <c r="G33" s="49"/>
      <c r="H33" s="49"/>
      <c r="I33" s="49"/>
      <c r="J33" s="49"/>
      <c r="K33" s="50"/>
      <c r="L33" s="50"/>
      <c r="M33" s="50"/>
      <c r="N33" s="212">
        <v>0</v>
      </c>
      <c r="O33" s="53"/>
      <c r="P33" s="52"/>
      <c r="AM33" s="200"/>
    </row>
    <row r="34" spans="1:39" x14ac:dyDescent="0.15">
      <c r="A34" s="44" t="s">
        <v>200</v>
      </c>
      <c r="C34" s="48"/>
      <c r="D34" s="49"/>
      <c r="E34" s="50" t="s">
        <v>201</v>
      </c>
      <c r="F34" s="50"/>
      <c r="G34" s="49"/>
      <c r="H34" s="49"/>
      <c r="I34" s="49"/>
      <c r="J34" s="49"/>
      <c r="K34" s="50"/>
      <c r="L34" s="50"/>
      <c r="M34" s="50"/>
      <c r="N34" s="212">
        <v>6500</v>
      </c>
      <c r="O34" s="53"/>
      <c r="P34" s="52"/>
      <c r="AM34" s="200"/>
    </row>
    <row r="35" spans="1:39" x14ac:dyDescent="0.15">
      <c r="A35" s="44" t="s">
        <v>202</v>
      </c>
      <c r="C35" s="48"/>
      <c r="D35" s="49"/>
      <c r="E35" s="49" t="s">
        <v>203</v>
      </c>
      <c r="F35" s="49"/>
      <c r="G35" s="49"/>
      <c r="H35" s="49"/>
      <c r="I35" s="49"/>
      <c r="J35" s="49"/>
      <c r="K35" s="50"/>
      <c r="L35" s="50"/>
      <c r="M35" s="50"/>
      <c r="N35" s="212">
        <v>44444000</v>
      </c>
      <c r="O35" s="53"/>
      <c r="P35" s="52"/>
      <c r="AM35" s="200"/>
    </row>
    <row r="36" spans="1:39" x14ac:dyDescent="0.15">
      <c r="A36" s="44" t="s">
        <v>204</v>
      </c>
      <c r="C36" s="48"/>
      <c r="D36" s="49"/>
      <c r="E36" s="49" t="s">
        <v>45</v>
      </c>
      <c r="F36" s="49"/>
      <c r="G36" s="49"/>
      <c r="H36" s="49"/>
      <c r="I36" s="49"/>
      <c r="J36" s="49"/>
      <c r="K36" s="50"/>
      <c r="L36" s="50"/>
      <c r="M36" s="50"/>
      <c r="N36" s="212">
        <v>149828</v>
      </c>
      <c r="O36" s="53"/>
      <c r="P36" s="52"/>
      <c r="AM36" s="200"/>
    </row>
    <row r="37" spans="1:39" x14ac:dyDescent="0.15">
      <c r="A37" s="44" t="s">
        <v>205</v>
      </c>
      <c r="C37" s="48"/>
      <c r="D37" s="49" t="s">
        <v>206</v>
      </c>
      <c r="E37" s="49"/>
      <c r="F37" s="49"/>
      <c r="G37" s="49"/>
      <c r="H37" s="49"/>
      <c r="I37" s="49"/>
      <c r="J37" s="49"/>
      <c r="K37" s="54"/>
      <c r="L37" s="54"/>
      <c r="M37" s="54"/>
      <c r="N37" s="212">
        <v>55904616</v>
      </c>
      <c r="O37" s="51"/>
      <c r="P37" s="52"/>
      <c r="AM37" s="200"/>
    </row>
    <row r="38" spans="1:39" x14ac:dyDescent="0.15">
      <c r="A38" s="44" t="s">
        <v>207</v>
      </c>
      <c r="C38" s="48"/>
      <c r="D38" s="49"/>
      <c r="E38" s="49" t="s">
        <v>208</v>
      </c>
      <c r="F38" s="49"/>
      <c r="G38" s="49"/>
      <c r="H38" s="49"/>
      <c r="I38" s="49"/>
      <c r="J38" s="49"/>
      <c r="K38" s="54"/>
      <c r="L38" s="54"/>
      <c r="M38" s="54"/>
      <c r="N38" s="212">
        <v>55004366</v>
      </c>
      <c r="O38" s="53"/>
      <c r="P38" s="52"/>
      <c r="AM38" s="200"/>
    </row>
    <row r="39" spans="1:39" ht="14.25" thickBot="1" x14ac:dyDescent="0.2">
      <c r="A39" s="44" t="s">
        <v>209</v>
      </c>
      <c r="C39" s="48"/>
      <c r="D39" s="49"/>
      <c r="E39" s="49" t="s">
        <v>45</v>
      </c>
      <c r="F39" s="49"/>
      <c r="G39" s="49"/>
      <c r="H39" s="49"/>
      <c r="I39" s="49"/>
      <c r="J39" s="49"/>
      <c r="K39" s="54"/>
      <c r="L39" s="54"/>
      <c r="M39" s="54"/>
      <c r="N39" s="212">
        <v>900250</v>
      </c>
      <c r="O39" s="53"/>
      <c r="P39" s="52"/>
      <c r="AM39" s="200"/>
    </row>
    <row r="40" spans="1:39" ht="14.25" thickBot="1" x14ac:dyDescent="0.2">
      <c r="A40" s="44" t="s">
        <v>194</v>
      </c>
      <c r="C40" s="59" t="s">
        <v>195</v>
      </c>
      <c r="D40" s="60"/>
      <c r="E40" s="60"/>
      <c r="F40" s="60"/>
      <c r="G40" s="60"/>
      <c r="H40" s="60"/>
      <c r="I40" s="60"/>
      <c r="J40" s="60"/>
      <c r="K40" s="61"/>
      <c r="L40" s="61"/>
      <c r="M40" s="61"/>
      <c r="N40" s="215">
        <f>-29272276221+1033919491</f>
        <v>-28238356730</v>
      </c>
      <c r="O40" s="62"/>
      <c r="P40" s="52"/>
      <c r="AM40" s="200"/>
    </row>
    <row r="41" spans="1:39" s="64" customFormat="1" ht="3.75" customHeight="1" x14ac:dyDescent="0.15">
      <c r="A41" s="63"/>
      <c r="C41" s="65"/>
      <c r="D41" s="65"/>
      <c r="E41" s="66"/>
      <c r="F41" s="66"/>
      <c r="G41" s="66"/>
      <c r="H41" s="66"/>
      <c r="I41" s="66"/>
      <c r="J41" s="67"/>
      <c r="K41" s="67"/>
      <c r="L41" s="67"/>
    </row>
    <row r="42" spans="1:39" s="64" customFormat="1" ht="15.6" customHeight="1" x14ac:dyDescent="0.15">
      <c r="A42" s="63"/>
      <c r="C42" s="68"/>
      <c r="D42" s="68"/>
      <c r="E42" s="69"/>
      <c r="F42" s="69"/>
      <c r="G42" s="69"/>
      <c r="H42" s="69"/>
      <c r="I42" s="69"/>
      <c r="J42" s="70"/>
      <c r="K42" s="70"/>
      <c r="L42" s="70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D28" sqref="D28"/>
    </sheetView>
  </sheetViews>
  <sheetFormatPr defaultRowHeight="12.75" x14ac:dyDescent="0.1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customWidth="1"/>
    <col min="18" max="18" width="3" style="74" customWidth="1"/>
    <col min="19" max="19" width="1" style="74" customWidth="1"/>
    <col min="20" max="20" width="9" style="74"/>
    <col min="21" max="24" width="0" style="74" hidden="1" customWidth="1"/>
    <col min="25" max="16384" width="9" style="74"/>
  </cols>
  <sheetData>
    <row r="2" spans="1:24" ht="24" x14ac:dyDescent="0.25">
      <c r="B2" s="73"/>
      <c r="C2" s="255" t="s">
        <v>356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24" ht="17.25" x14ac:dyDescent="0.2">
      <c r="B3" s="75"/>
      <c r="C3" s="256" t="s">
        <v>357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4" spans="1:24" ht="17.25" x14ac:dyDescent="0.2">
      <c r="B4" s="75"/>
      <c r="C4" s="256" t="s">
        <v>358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</row>
    <row r="5" spans="1:24" ht="15.75" customHeight="1" thickBot="1" x14ac:dyDescent="0.2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77"/>
      <c r="Q5" s="77"/>
      <c r="R5" s="78" t="s">
        <v>0</v>
      </c>
    </row>
    <row r="6" spans="1:24" ht="12.75" customHeight="1" x14ac:dyDescent="0.15">
      <c r="B6" s="79"/>
      <c r="C6" s="257" t="s">
        <v>1</v>
      </c>
      <c r="D6" s="258"/>
      <c r="E6" s="258"/>
      <c r="F6" s="258"/>
      <c r="G6" s="258"/>
      <c r="H6" s="258"/>
      <c r="I6" s="258"/>
      <c r="J6" s="259"/>
      <c r="K6" s="263" t="s">
        <v>343</v>
      </c>
      <c r="L6" s="258"/>
      <c r="M6" s="80"/>
      <c r="N6" s="80"/>
      <c r="O6" s="80"/>
      <c r="P6" s="80"/>
      <c r="Q6" s="80"/>
      <c r="R6" s="81"/>
    </row>
    <row r="7" spans="1:24" ht="29.25" customHeight="1" thickBot="1" x14ac:dyDescent="0.2">
      <c r="A7" s="72" t="s">
        <v>330</v>
      </c>
      <c r="B7" s="79"/>
      <c r="C7" s="260"/>
      <c r="D7" s="261"/>
      <c r="E7" s="261"/>
      <c r="F7" s="261"/>
      <c r="G7" s="261"/>
      <c r="H7" s="261"/>
      <c r="I7" s="261"/>
      <c r="J7" s="262"/>
      <c r="K7" s="264"/>
      <c r="L7" s="261"/>
      <c r="M7" s="265" t="s">
        <v>344</v>
      </c>
      <c r="N7" s="266"/>
      <c r="O7" s="265" t="s">
        <v>345</v>
      </c>
      <c r="P7" s="266"/>
      <c r="Q7" s="265" t="s">
        <v>148</v>
      </c>
      <c r="R7" s="267"/>
    </row>
    <row r="8" spans="1:24" ht="15.95" customHeight="1" x14ac:dyDescent="0.15">
      <c r="A8" s="72" t="s">
        <v>210</v>
      </c>
      <c r="B8" s="82"/>
      <c r="C8" s="83" t="s">
        <v>211</v>
      </c>
      <c r="D8" s="84"/>
      <c r="E8" s="84"/>
      <c r="F8" s="84"/>
      <c r="G8" s="84"/>
      <c r="H8" s="84"/>
      <c r="I8" s="84"/>
      <c r="J8" s="85"/>
      <c r="K8" s="86">
        <v>41164495031</v>
      </c>
      <c r="L8" s="87"/>
      <c r="M8" s="86">
        <v>65361997144</v>
      </c>
      <c r="N8" s="88"/>
      <c r="O8" s="86">
        <v>-24196837340</v>
      </c>
      <c r="P8" s="88"/>
      <c r="Q8" s="89">
        <v>-664773</v>
      </c>
      <c r="R8" s="90"/>
      <c r="U8" s="201" t="str">
        <f t="shared" ref="U8:U13" si="0">IF(COUNTIF(V8:X8,"-")=COUNTA(V8:X8),"-",SUM(V8:X8))</f>
        <v>-</v>
      </c>
      <c r="V8" s="201" t="s">
        <v>12</v>
      </c>
      <c r="W8" s="201" t="s">
        <v>12</v>
      </c>
      <c r="X8" s="201" t="s">
        <v>12</v>
      </c>
    </row>
    <row r="9" spans="1:24" ht="15.95" customHeight="1" x14ac:dyDescent="0.15">
      <c r="A9" s="72" t="s">
        <v>212</v>
      </c>
      <c r="B9" s="82"/>
      <c r="C9" s="24"/>
      <c r="D9" s="19" t="s">
        <v>213</v>
      </c>
      <c r="E9" s="19"/>
      <c r="F9" s="19"/>
      <c r="G9" s="19"/>
      <c r="H9" s="19"/>
      <c r="I9" s="19"/>
      <c r="J9" s="91"/>
      <c r="K9" s="92">
        <f>-29272276221+1033919491</f>
        <v>-28238356730</v>
      </c>
      <c r="L9" s="93"/>
      <c r="M9" s="272"/>
      <c r="N9" s="273"/>
      <c r="O9" s="92">
        <f>-29272276221+1033919491</f>
        <v>-28238356730</v>
      </c>
      <c r="P9" s="94"/>
      <c r="Q9" s="95">
        <v>0</v>
      </c>
      <c r="R9" s="96"/>
      <c r="U9" s="201" t="str">
        <f t="shared" si="0"/>
        <v>-</v>
      </c>
      <c r="V9" s="201" t="s">
        <v>12</v>
      </c>
      <c r="W9" s="201" t="s">
        <v>12</v>
      </c>
      <c r="X9" s="201" t="s">
        <v>12</v>
      </c>
    </row>
    <row r="10" spans="1:24" ht="15.95" customHeight="1" x14ac:dyDescent="0.15">
      <c r="A10" s="72" t="s">
        <v>214</v>
      </c>
      <c r="B10" s="79"/>
      <c r="C10" s="97"/>
      <c r="D10" s="91" t="s">
        <v>215</v>
      </c>
      <c r="E10" s="91"/>
      <c r="F10" s="91"/>
      <c r="G10" s="91"/>
      <c r="H10" s="91"/>
      <c r="I10" s="91"/>
      <c r="J10" s="91"/>
      <c r="K10" s="92">
        <f>29189302691-1090583160</f>
        <v>28098719531</v>
      </c>
      <c r="L10" s="93"/>
      <c r="M10" s="274"/>
      <c r="N10" s="275"/>
      <c r="O10" s="92">
        <f>29189302691-1090583160</f>
        <v>28098719531</v>
      </c>
      <c r="P10" s="94"/>
      <c r="Q10" s="95">
        <v>0</v>
      </c>
      <c r="R10" s="98"/>
      <c r="U10" s="201" t="str">
        <f t="shared" si="0"/>
        <v>-</v>
      </c>
      <c r="V10" s="201" t="s">
        <v>12</v>
      </c>
      <c r="W10" s="201" t="str">
        <f>IF(COUNTIF(W11:W12,"-")=COUNTA(W11:W12),"-",SUM(W11:W12))</f>
        <v>-</v>
      </c>
      <c r="X10" s="201" t="str">
        <f>IF(COUNTIF(X11:X12,"-")=COUNTA(X11:X12),"-",SUM(X11:X12))</f>
        <v>-</v>
      </c>
    </row>
    <row r="11" spans="1:24" ht="15.95" customHeight="1" x14ac:dyDescent="0.15">
      <c r="A11" s="72" t="s">
        <v>216</v>
      </c>
      <c r="B11" s="79"/>
      <c r="C11" s="99"/>
      <c r="D11" s="91"/>
      <c r="E11" s="100" t="s">
        <v>217</v>
      </c>
      <c r="F11" s="100"/>
      <c r="G11" s="100"/>
      <c r="H11" s="100"/>
      <c r="I11" s="100"/>
      <c r="J11" s="91"/>
      <c r="K11" s="92">
        <f>17832614982-617723160</f>
        <v>17214891822</v>
      </c>
      <c r="L11" s="93"/>
      <c r="M11" s="274"/>
      <c r="N11" s="275"/>
      <c r="O11" s="92">
        <f>17832614982-617723160</f>
        <v>17214891822</v>
      </c>
      <c r="P11" s="94"/>
      <c r="Q11" s="95">
        <v>0</v>
      </c>
      <c r="R11" s="98"/>
      <c r="U11" s="201" t="str">
        <f t="shared" si="0"/>
        <v>-</v>
      </c>
      <c r="V11" s="201" t="s">
        <v>12</v>
      </c>
      <c r="W11" s="201" t="s">
        <v>12</v>
      </c>
      <c r="X11" s="201" t="s">
        <v>12</v>
      </c>
    </row>
    <row r="12" spans="1:24" ht="15.95" customHeight="1" x14ac:dyDescent="0.15">
      <c r="A12" s="72" t="s">
        <v>218</v>
      </c>
      <c r="B12" s="79"/>
      <c r="C12" s="101"/>
      <c r="D12" s="102"/>
      <c r="E12" s="102" t="s">
        <v>219</v>
      </c>
      <c r="F12" s="102"/>
      <c r="G12" s="102"/>
      <c r="H12" s="102"/>
      <c r="I12" s="102"/>
      <c r="J12" s="103"/>
      <c r="K12" s="104">
        <f>11356687709-472860000</f>
        <v>10883827709</v>
      </c>
      <c r="L12" s="105"/>
      <c r="M12" s="276"/>
      <c r="N12" s="277"/>
      <c r="O12" s="104">
        <f>11356687709-472860000</f>
        <v>10883827709</v>
      </c>
      <c r="P12" s="106"/>
      <c r="Q12" s="107">
        <v>0</v>
      </c>
      <c r="R12" s="108"/>
      <c r="U12" s="201" t="str">
        <f t="shared" si="0"/>
        <v>-</v>
      </c>
      <c r="V12" s="201" t="s">
        <v>12</v>
      </c>
      <c r="W12" s="201" t="s">
        <v>12</v>
      </c>
      <c r="X12" s="201" t="s">
        <v>12</v>
      </c>
    </row>
    <row r="13" spans="1:24" ht="15.95" customHeight="1" x14ac:dyDescent="0.15">
      <c r="A13" s="72" t="s">
        <v>220</v>
      </c>
      <c r="B13" s="79"/>
      <c r="C13" s="109"/>
      <c r="D13" s="110" t="s">
        <v>221</v>
      </c>
      <c r="E13" s="111"/>
      <c r="F13" s="110"/>
      <c r="G13" s="110"/>
      <c r="H13" s="110"/>
      <c r="I13" s="110"/>
      <c r="J13" s="112"/>
      <c r="K13" s="216">
        <f>-82973530-56663669</f>
        <v>-139637199</v>
      </c>
      <c r="L13" s="113"/>
      <c r="M13" s="278"/>
      <c r="N13" s="279"/>
      <c r="O13" s="216">
        <f>-82973530-56663669</f>
        <v>-139637199</v>
      </c>
      <c r="P13" s="114"/>
      <c r="Q13" s="115">
        <v>0</v>
      </c>
      <c r="R13" s="116"/>
      <c r="U13" s="201" t="str">
        <f t="shared" si="0"/>
        <v>-</v>
      </c>
      <c r="V13" s="201" t="s">
        <v>12</v>
      </c>
      <c r="W13" s="201" t="str">
        <f>IF(COUNTIF(W9:W10,"-")=COUNTA(W9:W10),"-",SUM(W9:W10))</f>
        <v>-</v>
      </c>
      <c r="X13" s="201" t="str">
        <f>IF(COUNTIF(X9:X10,"-")=COUNTA(X9:X10),"-",SUM(X9:X10))</f>
        <v>-</v>
      </c>
    </row>
    <row r="14" spans="1:24" ht="15.95" customHeight="1" x14ac:dyDescent="0.15">
      <c r="A14" s="72" t="s">
        <v>222</v>
      </c>
      <c r="B14" s="79"/>
      <c r="C14" s="24"/>
      <c r="D14" s="117" t="s">
        <v>346</v>
      </c>
      <c r="E14" s="117"/>
      <c r="F14" s="117"/>
      <c r="G14" s="100"/>
      <c r="H14" s="100"/>
      <c r="I14" s="100"/>
      <c r="J14" s="91"/>
      <c r="K14" s="268"/>
      <c r="L14" s="269"/>
      <c r="M14" s="92">
        <v>-99938925</v>
      </c>
      <c r="N14" s="94"/>
      <c r="O14" s="92">
        <v>99938925</v>
      </c>
      <c r="P14" s="94"/>
      <c r="Q14" s="280"/>
      <c r="R14" s="281"/>
      <c r="U14" s="201" t="s">
        <v>12</v>
      </c>
      <c r="V14" s="201" t="str">
        <f>IF(COUNTA(V15:V18)=COUNTIF(V15:V18,"-"),"-",SUM(V15,V17,V16,V18))</f>
        <v>-</v>
      </c>
      <c r="W14" s="201" t="str">
        <f>IF(COUNTA(W15:W18)=COUNTIF(W15:W18,"-"),"-",SUM(W15,W17,W16,W18))</f>
        <v>-</v>
      </c>
      <c r="X14" s="201" t="s">
        <v>12</v>
      </c>
    </row>
    <row r="15" spans="1:24" ht="15.95" customHeight="1" x14ac:dyDescent="0.15">
      <c r="A15" s="72" t="s">
        <v>223</v>
      </c>
      <c r="B15" s="79"/>
      <c r="C15" s="24"/>
      <c r="D15" s="117"/>
      <c r="E15" s="117" t="s">
        <v>224</v>
      </c>
      <c r="F15" s="100"/>
      <c r="G15" s="100"/>
      <c r="H15" s="100"/>
      <c r="I15" s="100"/>
      <c r="J15" s="91"/>
      <c r="K15" s="268"/>
      <c r="L15" s="269"/>
      <c r="M15" s="92">
        <v>2084836148</v>
      </c>
      <c r="N15" s="94"/>
      <c r="O15" s="92">
        <v>-2084836148</v>
      </c>
      <c r="P15" s="94"/>
      <c r="Q15" s="270"/>
      <c r="R15" s="271"/>
      <c r="U15" s="201" t="s">
        <v>12</v>
      </c>
      <c r="V15" s="201" t="s">
        <v>12</v>
      </c>
      <c r="W15" s="201" t="s">
        <v>12</v>
      </c>
      <c r="X15" s="201" t="s">
        <v>12</v>
      </c>
    </row>
    <row r="16" spans="1:24" ht="15.95" customHeight="1" x14ac:dyDescent="0.15">
      <c r="A16" s="72" t="s">
        <v>225</v>
      </c>
      <c r="B16" s="79"/>
      <c r="C16" s="24"/>
      <c r="D16" s="117"/>
      <c r="E16" s="117" t="s">
        <v>226</v>
      </c>
      <c r="F16" s="117"/>
      <c r="G16" s="100"/>
      <c r="H16" s="100"/>
      <c r="I16" s="100"/>
      <c r="J16" s="91"/>
      <c r="K16" s="268"/>
      <c r="L16" s="269"/>
      <c r="M16" s="92">
        <v>-2420913726</v>
      </c>
      <c r="N16" s="94"/>
      <c r="O16" s="92">
        <v>2420913726</v>
      </c>
      <c r="P16" s="94"/>
      <c r="Q16" s="270"/>
      <c r="R16" s="271"/>
      <c r="U16" s="201" t="s">
        <v>12</v>
      </c>
      <c r="V16" s="201" t="s">
        <v>12</v>
      </c>
      <c r="W16" s="201" t="s">
        <v>12</v>
      </c>
      <c r="X16" s="201" t="s">
        <v>12</v>
      </c>
    </row>
    <row r="17" spans="1:24" ht="15.95" customHeight="1" x14ac:dyDescent="0.15">
      <c r="A17" s="72" t="s">
        <v>227</v>
      </c>
      <c r="B17" s="79"/>
      <c r="C17" s="24"/>
      <c r="D17" s="117"/>
      <c r="E17" s="117" t="s">
        <v>228</v>
      </c>
      <c r="F17" s="117"/>
      <c r="G17" s="100"/>
      <c r="H17" s="100"/>
      <c r="I17" s="100"/>
      <c r="J17" s="91"/>
      <c r="K17" s="268"/>
      <c r="L17" s="269"/>
      <c r="M17" s="92">
        <v>1079627033</v>
      </c>
      <c r="N17" s="94"/>
      <c r="O17" s="92">
        <v>-1079627033</v>
      </c>
      <c r="P17" s="94"/>
      <c r="Q17" s="270"/>
      <c r="R17" s="271"/>
      <c r="U17" s="201" t="s">
        <v>12</v>
      </c>
      <c r="V17" s="201" t="s">
        <v>12</v>
      </c>
      <c r="W17" s="201" t="s">
        <v>12</v>
      </c>
      <c r="X17" s="201" t="s">
        <v>12</v>
      </c>
    </row>
    <row r="18" spans="1:24" ht="15.95" customHeight="1" x14ac:dyDescent="0.15">
      <c r="A18" s="72" t="s">
        <v>229</v>
      </c>
      <c r="B18" s="79"/>
      <c r="C18" s="24"/>
      <c r="D18" s="117"/>
      <c r="E18" s="117" t="s">
        <v>230</v>
      </c>
      <c r="F18" s="117"/>
      <c r="G18" s="100"/>
      <c r="H18" s="20"/>
      <c r="I18" s="100"/>
      <c r="J18" s="91"/>
      <c r="K18" s="268"/>
      <c r="L18" s="269"/>
      <c r="M18" s="92">
        <v>-843488380</v>
      </c>
      <c r="N18" s="94"/>
      <c r="O18" s="92">
        <v>843488380</v>
      </c>
      <c r="P18" s="94"/>
      <c r="Q18" s="270"/>
      <c r="R18" s="271"/>
      <c r="U18" s="201" t="s">
        <v>12</v>
      </c>
      <c r="V18" s="201" t="s">
        <v>12</v>
      </c>
      <c r="W18" s="201" t="s">
        <v>12</v>
      </c>
      <c r="X18" s="201" t="s">
        <v>12</v>
      </c>
    </row>
    <row r="19" spans="1:24" ht="15.95" customHeight="1" x14ac:dyDescent="0.15">
      <c r="A19" s="72" t="s">
        <v>231</v>
      </c>
      <c r="B19" s="79"/>
      <c r="C19" s="24"/>
      <c r="D19" s="117" t="s">
        <v>232</v>
      </c>
      <c r="E19" s="100"/>
      <c r="F19" s="100"/>
      <c r="G19" s="100"/>
      <c r="H19" s="100"/>
      <c r="I19" s="100"/>
      <c r="J19" s="91"/>
      <c r="K19" s="92">
        <v>0</v>
      </c>
      <c r="L19" s="93"/>
      <c r="M19" s="92">
        <v>0</v>
      </c>
      <c r="N19" s="94"/>
      <c r="O19" s="274"/>
      <c r="P19" s="275"/>
      <c r="Q19" s="274"/>
      <c r="R19" s="282"/>
      <c r="U19" s="201" t="str">
        <f t="shared" ref="U19:U26" si="1">IF(COUNTIF(V19:X19,"-")=COUNTA(V19:X19),"-",SUM(V19:X19))</f>
        <v>-</v>
      </c>
      <c r="V19" s="201" t="s">
        <v>12</v>
      </c>
      <c r="W19" s="201" t="s">
        <v>12</v>
      </c>
      <c r="X19" s="201" t="s">
        <v>12</v>
      </c>
    </row>
    <row r="20" spans="1:24" ht="15.95" customHeight="1" x14ac:dyDescent="0.15">
      <c r="A20" s="72" t="s">
        <v>233</v>
      </c>
      <c r="B20" s="79"/>
      <c r="C20" s="24"/>
      <c r="D20" s="117" t="s">
        <v>234</v>
      </c>
      <c r="E20" s="117"/>
      <c r="F20" s="100"/>
      <c r="G20" s="100"/>
      <c r="H20" s="100"/>
      <c r="I20" s="100"/>
      <c r="J20" s="91"/>
      <c r="K20" s="92">
        <v>4251702</v>
      </c>
      <c r="L20" s="93"/>
      <c r="M20" s="92">
        <v>4251702</v>
      </c>
      <c r="N20" s="94"/>
      <c r="O20" s="274"/>
      <c r="P20" s="275"/>
      <c r="Q20" s="274"/>
      <c r="R20" s="282"/>
      <c r="U20" s="201" t="str">
        <f t="shared" si="1"/>
        <v>-</v>
      </c>
      <c r="V20" s="201" t="s">
        <v>12</v>
      </c>
      <c r="W20" s="201" t="s">
        <v>12</v>
      </c>
      <c r="X20" s="201" t="s">
        <v>12</v>
      </c>
    </row>
    <row r="21" spans="1:24" ht="15.95" customHeight="1" x14ac:dyDescent="0.15">
      <c r="A21" s="72" t="s">
        <v>347</v>
      </c>
      <c r="B21" s="79"/>
      <c r="C21" s="24"/>
      <c r="D21" s="117" t="s">
        <v>235</v>
      </c>
      <c r="E21" s="117"/>
      <c r="F21" s="100"/>
      <c r="G21" s="100"/>
      <c r="H21" s="100"/>
      <c r="I21" s="100"/>
      <c r="J21" s="91"/>
      <c r="K21" s="92">
        <v>0</v>
      </c>
      <c r="L21" s="118"/>
      <c r="M21" s="274"/>
      <c r="N21" s="275"/>
      <c r="O21" s="274"/>
      <c r="P21" s="275"/>
      <c r="Q21" s="95">
        <v>0</v>
      </c>
      <c r="R21" s="98"/>
      <c r="U21" s="201" t="str">
        <f t="shared" si="1"/>
        <v>-</v>
      </c>
      <c r="V21" s="201" t="s">
        <v>12</v>
      </c>
      <c r="W21" s="201" t="s">
        <v>12</v>
      </c>
      <c r="X21" s="201" t="s">
        <v>12</v>
      </c>
    </row>
    <row r="22" spans="1:24" ht="15.95" customHeight="1" x14ac:dyDescent="0.15">
      <c r="A22" s="72" t="s">
        <v>348</v>
      </c>
      <c r="B22" s="79"/>
      <c r="C22" s="24"/>
      <c r="D22" s="117" t="s">
        <v>236</v>
      </c>
      <c r="E22" s="117"/>
      <c r="F22" s="100"/>
      <c r="G22" s="100"/>
      <c r="H22" s="100"/>
      <c r="I22" s="100"/>
      <c r="J22" s="91"/>
      <c r="K22" s="92">
        <v>0</v>
      </c>
      <c r="L22" s="118"/>
      <c r="M22" s="274"/>
      <c r="N22" s="275"/>
      <c r="O22" s="274"/>
      <c r="P22" s="275"/>
      <c r="Q22" s="95">
        <v>0</v>
      </c>
      <c r="R22" s="98"/>
      <c r="U22" s="201" t="str">
        <f t="shared" si="1"/>
        <v>-</v>
      </c>
      <c r="V22" s="201" t="s">
        <v>12</v>
      </c>
      <c r="W22" s="201" t="s">
        <v>12</v>
      </c>
      <c r="X22" s="201" t="s">
        <v>12</v>
      </c>
    </row>
    <row r="23" spans="1:24" ht="15.95" customHeight="1" x14ac:dyDescent="0.15">
      <c r="A23" s="72" t="s">
        <v>349</v>
      </c>
      <c r="B23" s="79"/>
      <c r="C23" s="24"/>
      <c r="D23" s="117" t="s">
        <v>237</v>
      </c>
      <c r="E23" s="117"/>
      <c r="F23" s="100"/>
      <c r="G23" s="100"/>
      <c r="H23" s="100"/>
      <c r="I23" s="100"/>
      <c r="J23" s="91"/>
      <c r="K23" s="92">
        <v>0</v>
      </c>
      <c r="L23" s="93"/>
      <c r="M23" s="274"/>
      <c r="N23" s="275"/>
      <c r="O23" s="274"/>
      <c r="P23" s="275"/>
      <c r="Q23" s="95">
        <v>0</v>
      </c>
      <c r="R23" s="98"/>
      <c r="U23" s="201" t="str">
        <f t="shared" si="1"/>
        <v>-</v>
      </c>
      <c r="V23" s="201" t="s">
        <v>12</v>
      </c>
      <c r="W23" s="201" t="s">
        <v>12</v>
      </c>
      <c r="X23" s="201" t="s">
        <v>12</v>
      </c>
    </row>
    <row r="24" spans="1:24" ht="15.95" customHeight="1" x14ac:dyDescent="0.15">
      <c r="A24" s="72" t="s">
        <v>238</v>
      </c>
      <c r="B24" s="79"/>
      <c r="C24" s="101"/>
      <c r="D24" s="102" t="s">
        <v>45</v>
      </c>
      <c r="E24" s="102"/>
      <c r="F24" s="102"/>
      <c r="G24" s="119"/>
      <c r="H24" s="119"/>
      <c r="I24" s="119"/>
      <c r="J24" s="103"/>
      <c r="K24" s="104">
        <v>4283029</v>
      </c>
      <c r="L24" s="105"/>
      <c r="M24" s="104">
        <v>-3572829</v>
      </c>
      <c r="N24" s="106"/>
      <c r="O24" s="104">
        <v>7855858</v>
      </c>
      <c r="P24" s="106"/>
      <c r="Q24" s="283"/>
      <c r="R24" s="284"/>
      <c r="S24" s="120"/>
      <c r="U24" s="201" t="str">
        <f t="shared" si="1"/>
        <v>-</v>
      </c>
      <c r="V24" s="201" t="s">
        <v>12</v>
      </c>
      <c r="W24" s="201" t="s">
        <v>12</v>
      </c>
      <c r="X24" s="201" t="s">
        <v>12</v>
      </c>
    </row>
    <row r="25" spans="1:24" ht="15.95" customHeight="1" thickBot="1" x14ac:dyDescent="0.2">
      <c r="A25" s="72" t="s">
        <v>239</v>
      </c>
      <c r="B25" s="79"/>
      <c r="C25" s="121"/>
      <c r="D25" s="122" t="s">
        <v>240</v>
      </c>
      <c r="E25" s="122"/>
      <c r="F25" s="123"/>
      <c r="G25" s="123"/>
      <c r="H25" s="124"/>
      <c r="I25" s="123"/>
      <c r="J25" s="125"/>
      <c r="K25" s="126">
        <f>-74438799-56663669</f>
        <v>-131102468</v>
      </c>
      <c r="L25" s="127"/>
      <c r="M25" s="126">
        <v>-99260052</v>
      </c>
      <c r="N25" s="128"/>
      <c r="O25" s="126">
        <f>24821253-56663669</f>
        <v>-31842416</v>
      </c>
      <c r="P25" s="128"/>
      <c r="Q25" s="129">
        <v>0</v>
      </c>
      <c r="R25" s="130"/>
      <c r="S25" s="120"/>
      <c r="U25" s="201" t="str">
        <f t="shared" si="1"/>
        <v>-</v>
      </c>
      <c r="V25" s="201" t="str">
        <f>IF(AND(V14="-",COUNTIF(V19:V20,"-")=COUNTA(V19:V20),V24="-"),"-",SUM(V14,V19:V20,V24))</f>
        <v>-</v>
      </c>
      <c r="W25" s="201" t="str">
        <f>IF(AND(W13="-",W14="-",COUNTIF(W19:W20,"-")=COUNTA(W19:W20),W24="-"),"-",SUM(W13,W14,W19:W20,W24))</f>
        <v>-</v>
      </c>
      <c r="X25" s="201" t="str">
        <f>IF(AND(X13="-",COUNTIF(X21:X23,"-")=COUNTA(X21:X23)),"-",SUM(X13,X21:X23))</f>
        <v>-</v>
      </c>
    </row>
    <row r="26" spans="1:24" ht="15.95" customHeight="1" thickBot="1" x14ac:dyDescent="0.2">
      <c r="A26" s="72" t="s">
        <v>241</v>
      </c>
      <c r="B26" s="79"/>
      <c r="C26" s="131" t="s">
        <v>242</v>
      </c>
      <c r="D26" s="132"/>
      <c r="E26" s="132"/>
      <c r="F26" s="132"/>
      <c r="G26" s="133"/>
      <c r="H26" s="133"/>
      <c r="I26" s="133"/>
      <c r="J26" s="134"/>
      <c r="K26" s="135">
        <f>41090056232-56663669</f>
        <v>41033392563</v>
      </c>
      <c r="L26" s="136"/>
      <c r="M26" s="135">
        <v>65262737092</v>
      </c>
      <c r="N26" s="137"/>
      <c r="O26" s="135">
        <f>-24172016087-56663669</f>
        <v>-24228679756</v>
      </c>
      <c r="P26" s="137"/>
      <c r="Q26" s="138">
        <v>-664773</v>
      </c>
      <c r="R26" s="139"/>
      <c r="S26" s="120"/>
      <c r="U26" s="201" t="str">
        <f t="shared" si="1"/>
        <v>-</v>
      </c>
      <c r="V26" s="201" t="s">
        <v>12</v>
      </c>
      <c r="W26" s="201" t="s">
        <v>12</v>
      </c>
      <c r="X26" s="201" t="str">
        <f>IF(AND(X8="-",X25="-"),"-",SUM(X8,X25))</f>
        <v>-</v>
      </c>
    </row>
    <row r="27" spans="1:24" ht="6.75" customHeight="1" x14ac:dyDescent="0.15">
      <c r="B27" s="79"/>
      <c r="C27" s="140"/>
      <c r="D27" s="141"/>
      <c r="E27" s="141"/>
      <c r="F27" s="141"/>
      <c r="G27" s="141"/>
      <c r="H27" s="141"/>
      <c r="I27" s="141"/>
      <c r="J27" s="141"/>
      <c r="K27" s="79"/>
      <c r="L27" s="79"/>
      <c r="M27" s="79"/>
      <c r="N27" s="79"/>
      <c r="O27" s="79"/>
      <c r="P27" s="79"/>
      <c r="Q27" s="79"/>
      <c r="R27" s="19"/>
      <c r="S27" s="120"/>
    </row>
    <row r="28" spans="1:24" ht="15.6" customHeight="1" x14ac:dyDescent="0.15">
      <c r="B28" s="79"/>
      <c r="C28" s="142"/>
      <c r="D28" s="143"/>
      <c r="F28" s="144"/>
      <c r="G28" s="145"/>
      <c r="H28" s="144"/>
      <c r="I28" s="144"/>
      <c r="J28" s="142"/>
      <c r="K28" s="79"/>
      <c r="L28" s="79"/>
      <c r="M28" s="79"/>
      <c r="N28" s="79"/>
      <c r="O28" s="79"/>
      <c r="P28" s="79"/>
      <c r="Q28" s="79"/>
      <c r="R28" s="19"/>
      <c r="S28" s="120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D62" sqref="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3" customWidth="1"/>
    <col min="16" max="16" width="9" style="6"/>
    <col min="17" max="17" width="0" style="6" hidden="1" customWidth="1"/>
    <col min="18" max="16384" width="9" style="6"/>
  </cols>
  <sheetData>
    <row r="1" spans="1:39" s="43" customFormat="1" x14ac:dyDescent="0.15">
      <c r="A1" s="1"/>
      <c r="B1" s="146"/>
      <c r="C1" s="146"/>
      <c r="D1" s="42"/>
      <c r="E1" s="42"/>
      <c r="F1" s="42"/>
      <c r="G1" s="42"/>
      <c r="H1" s="42"/>
      <c r="I1" s="3"/>
      <c r="J1" s="3"/>
      <c r="K1" s="3"/>
      <c r="L1" s="3"/>
      <c r="M1" s="3"/>
      <c r="N1" s="3"/>
    </row>
    <row r="2" spans="1:39" s="43" customFormat="1" ht="24" x14ac:dyDescent="0.15">
      <c r="A2" s="1"/>
      <c r="B2" s="147"/>
      <c r="C2" s="294" t="s">
        <v>359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39" s="43" customFormat="1" ht="14.25" x14ac:dyDescent="0.15">
      <c r="A3" s="148"/>
      <c r="B3" s="149"/>
      <c r="C3" s="295" t="s">
        <v>357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39" s="43" customFormat="1" ht="14.25" x14ac:dyDescent="0.15">
      <c r="A4" s="148"/>
      <c r="B4" s="149"/>
      <c r="C4" s="295" t="s">
        <v>358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39" s="43" customFormat="1" ht="14.25" thickBot="1" x14ac:dyDescent="0.2">
      <c r="A5" s="148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 t="s">
        <v>0</v>
      </c>
    </row>
    <row r="6" spans="1:39" s="43" customFormat="1" x14ac:dyDescent="0.15">
      <c r="A6" s="148"/>
      <c r="B6" s="149"/>
      <c r="C6" s="296" t="s">
        <v>1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332</v>
      </c>
      <c r="N6" s="304"/>
    </row>
    <row r="7" spans="1:39" s="43" customFormat="1" ht="14.25" thickBot="1" x14ac:dyDescent="0.2">
      <c r="A7" s="148" t="s">
        <v>330</v>
      </c>
      <c r="B7" s="149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39" s="43" customFormat="1" x14ac:dyDescent="0.15">
      <c r="A8" s="152"/>
      <c r="B8" s="153"/>
      <c r="C8" s="154" t="s">
        <v>350</v>
      </c>
      <c r="D8" s="155"/>
      <c r="E8" s="155"/>
      <c r="F8" s="156"/>
      <c r="G8" s="156"/>
      <c r="H8" s="157"/>
      <c r="I8" s="156"/>
      <c r="J8" s="157"/>
      <c r="K8" s="157"/>
      <c r="L8" s="158"/>
      <c r="M8" s="217"/>
      <c r="N8" s="159"/>
      <c r="AM8" s="202"/>
    </row>
    <row r="9" spans="1:39" s="43" customFormat="1" x14ac:dyDescent="0.15">
      <c r="A9" s="1" t="s">
        <v>245</v>
      </c>
      <c r="B9" s="3"/>
      <c r="C9" s="160"/>
      <c r="D9" s="161" t="s">
        <v>246</v>
      </c>
      <c r="E9" s="161"/>
      <c r="F9" s="162"/>
      <c r="G9" s="162"/>
      <c r="H9" s="150"/>
      <c r="I9" s="162"/>
      <c r="J9" s="150"/>
      <c r="K9" s="150"/>
      <c r="L9" s="163"/>
      <c r="M9" s="218">
        <f>30958311533-1010121727</f>
        <v>29948189806</v>
      </c>
      <c r="N9" s="164"/>
      <c r="AM9" s="202"/>
    </row>
    <row r="10" spans="1:39" s="43" customFormat="1" x14ac:dyDescent="0.15">
      <c r="A10" s="1" t="s">
        <v>247</v>
      </c>
      <c r="B10" s="3"/>
      <c r="C10" s="160"/>
      <c r="D10" s="161"/>
      <c r="E10" s="161" t="s">
        <v>248</v>
      </c>
      <c r="F10" s="162"/>
      <c r="G10" s="162"/>
      <c r="H10" s="162"/>
      <c r="I10" s="162"/>
      <c r="J10" s="150"/>
      <c r="K10" s="150"/>
      <c r="L10" s="163"/>
      <c r="M10" s="218">
        <f>10905094760-1001743860</f>
        <v>9903350900</v>
      </c>
      <c r="N10" s="164"/>
      <c r="AM10" s="202"/>
    </row>
    <row r="11" spans="1:39" s="43" customFormat="1" x14ac:dyDescent="0.15">
      <c r="A11" s="1" t="s">
        <v>249</v>
      </c>
      <c r="B11" s="3"/>
      <c r="C11" s="160"/>
      <c r="D11" s="161"/>
      <c r="E11" s="161"/>
      <c r="F11" s="162" t="s">
        <v>250</v>
      </c>
      <c r="G11" s="162"/>
      <c r="H11" s="162"/>
      <c r="I11" s="162"/>
      <c r="J11" s="150"/>
      <c r="K11" s="150"/>
      <c r="L11" s="163"/>
      <c r="M11" s="218">
        <f>3182132049-37996851</f>
        <v>3144135198</v>
      </c>
      <c r="N11" s="164"/>
      <c r="AM11" s="202"/>
    </row>
    <row r="12" spans="1:39" s="43" customFormat="1" x14ac:dyDescent="0.15">
      <c r="A12" s="1" t="s">
        <v>251</v>
      </c>
      <c r="B12" s="3"/>
      <c r="C12" s="160"/>
      <c r="D12" s="161"/>
      <c r="E12" s="161"/>
      <c r="F12" s="162" t="s">
        <v>252</v>
      </c>
      <c r="G12" s="162"/>
      <c r="H12" s="162"/>
      <c r="I12" s="162"/>
      <c r="J12" s="150"/>
      <c r="K12" s="150"/>
      <c r="L12" s="163"/>
      <c r="M12" s="218">
        <f>7018499955-963699599</f>
        <v>6054800356</v>
      </c>
      <c r="N12" s="164"/>
      <c r="AM12" s="202"/>
    </row>
    <row r="13" spans="1:39" s="43" customFormat="1" x14ac:dyDescent="0.15">
      <c r="A13" s="1" t="s">
        <v>253</v>
      </c>
      <c r="B13" s="3"/>
      <c r="C13" s="165"/>
      <c r="D13" s="150"/>
      <c r="E13" s="150"/>
      <c r="F13" s="150" t="s">
        <v>254</v>
      </c>
      <c r="G13" s="150"/>
      <c r="H13" s="150"/>
      <c r="I13" s="150"/>
      <c r="J13" s="150"/>
      <c r="K13" s="150"/>
      <c r="L13" s="163"/>
      <c r="M13" s="219">
        <v>169360642</v>
      </c>
      <c r="N13" s="164"/>
      <c r="AM13" s="202"/>
    </row>
    <row r="14" spans="1:39" s="43" customFormat="1" x14ac:dyDescent="0.15">
      <c r="A14" s="1" t="s">
        <v>255</v>
      </c>
      <c r="B14" s="3"/>
      <c r="C14" s="166"/>
      <c r="D14" s="167"/>
      <c r="E14" s="150"/>
      <c r="F14" s="167" t="s">
        <v>256</v>
      </c>
      <c r="G14" s="167"/>
      <c r="H14" s="167"/>
      <c r="I14" s="167"/>
      <c r="J14" s="150"/>
      <c r="K14" s="150"/>
      <c r="L14" s="163"/>
      <c r="M14" s="218">
        <f>535102114-47410</f>
        <v>535054704</v>
      </c>
      <c r="N14" s="164"/>
      <c r="AM14" s="202"/>
    </row>
    <row r="15" spans="1:39" s="43" customFormat="1" x14ac:dyDescent="0.15">
      <c r="A15" s="1" t="s">
        <v>257</v>
      </c>
      <c r="B15" s="3"/>
      <c r="C15" s="165"/>
      <c r="D15" s="167"/>
      <c r="E15" s="150" t="s">
        <v>258</v>
      </c>
      <c r="F15" s="167"/>
      <c r="G15" s="167"/>
      <c r="H15" s="167"/>
      <c r="I15" s="167"/>
      <c r="J15" s="150"/>
      <c r="K15" s="150"/>
      <c r="L15" s="163"/>
      <c r="M15" s="218">
        <f>20053216773-8377867</f>
        <v>20044838906</v>
      </c>
      <c r="N15" s="164"/>
      <c r="AM15" s="202"/>
    </row>
    <row r="16" spans="1:39" s="43" customFormat="1" x14ac:dyDescent="0.15">
      <c r="A16" s="1" t="s">
        <v>259</v>
      </c>
      <c r="B16" s="3"/>
      <c r="C16" s="165"/>
      <c r="D16" s="167"/>
      <c r="E16" s="167"/>
      <c r="F16" s="150" t="s">
        <v>260</v>
      </c>
      <c r="G16" s="167"/>
      <c r="H16" s="167"/>
      <c r="I16" s="167"/>
      <c r="J16" s="150"/>
      <c r="K16" s="150"/>
      <c r="L16" s="163"/>
      <c r="M16" s="218">
        <f>10739696871-8345067</f>
        <v>10731351804</v>
      </c>
      <c r="N16" s="164"/>
      <c r="AM16" s="202"/>
    </row>
    <row r="17" spans="1:39" s="43" customFormat="1" x14ac:dyDescent="0.15">
      <c r="A17" s="1" t="s">
        <v>261</v>
      </c>
      <c r="B17" s="3"/>
      <c r="C17" s="165"/>
      <c r="D17" s="167"/>
      <c r="E17" s="167"/>
      <c r="F17" s="150" t="s">
        <v>262</v>
      </c>
      <c r="G17" s="167"/>
      <c r="H17" s="167"/>
      <c r="I17" s="167"/>
      <c r="J17" s="150"/>
      <c r="K17" s="150"/>
      <c r="L17" s="163"/>
      <c r="M17" s="219">
        <v>8310180778</v>
      </c>
      <c r="N17" s="164"/>
      <c r="AM17" s="202"/>
    </row>
    <row r="18" spans="1:39" s="43" customFormat="1" x14ac:dyDescent="0.15">
      <c r="A18" s="1" t="s">
        <v>263</v>
      </c>
      <c r="B18" s="3"/>
      <c r="C18" s="165"/>
      <c r="D18" s="150"/>
      <c r="E18" s="167"/>
      <c r="F18" s="150" t="s">
        <v>264</v>
      </c>
      <c r="G18" s="167"/>
      <c r="H18" s="167"/>
      <c r="I18" s="167"/>
      <c r="J18" s="150"/>
      <c r="K18" s="150"/>
      <c r="L18" s="163"/>
      <c r="M18" s="219">
        <v>1001562000</v>
      </c>
      <c r="N18" s="168"/>
      <c r="AM18" s="202"/>
    </row>
    <row r="19" spans="1:39" s="43" customFormat="1" x14ac:dyDescent="0.15">
      <c r="A19" s="1" t="s">
        <v>265</v>
      </c>
      <c r="B19" s="3"/>
      <c r="C19" s="165"/>
      <c r="D19" s="150"/>
      <c r="E19" s="169"/>
      <c r="F19" s="167" t="s">
        <v>256</v>
      </c>
      <c r="G19" s="150"/>
      <c r="H19" s="167"/>
      <c r="I19" s="167"/>
      <c r="J19" s="150"/>
      <c r="K19" s="150"/>
      <c r="L19" s="163"/>
      <c r="M19" s="219">
        <f>1777124-32800</f>
        <v>1744324</v>
      </c>
      <c r="N19" s="164"/>
      <c r="AM19" s="202"/>
    </row>
    <row r="20" spans="1:39" s="43" customFormat="1" x14ac:dyDescent="0.15">
      <c r="A20" s="1" t="s">
        <v>266</v>
      </c>
      <c r="B20" s="3"/>
      <c r="C20" s="165"/>
      <c r="D20" s="150" t="s">
        <v>267</v>
      </c>
      <c r="E20" s="169"/>
      <c r="F20" s="167"/>
      <c r="G20" s="167"/>
      <c r="H20" s="167"/>
      <c r="I20" s="167"/>
      <c r="J20" s="150"/>
      <c r="K20" s="150"/>
      <c r="L20" s="163"/>
      <c r="M20" s="218">
        <f>32768178989-860787690</f>
        <v>31907391299</v>
      </c>
      <c r="N20" s="164"/>
      <c r="AM20" s="202"/>
    </row>
    <row r="21" spans="1:39" s="43" customFormat="1" x14ac:dyDescent="0.15">
      <c r="A21" s="1" t="s">
        <v>268</v>
      </c>
      <c r="B21" s="3"/>
      <c r="C21" s="165"/>
      <c r="D21" s="150"/>
      <c r="E21" s="169" t="s">
        <v>269</v>
      </c>
      <c r="F21" s="167"/>
      <c r="G21" s="167"/>
      <c r="H21" s="167"/>
      <c r="I21" s="167"/>
      <c r="J21" s="150"/>
      <c r="K21" s="150"/>
      <c r="L21" s="163"/>
      <c r="M21" s="218">
        <f>17801197168-617723160</f>
        <v>17183474008</v>
      </c>
      <c r="N21" s="164"/>
      <c r="AM21" s="202"/>
    </row>
    <row r="22" spans="1:39" s="43" customFormat="1" x14ac:dyDescent="0.15">
      <c r="A22" s="1" t="s">
        <v>270</v>
      </c>
      <c r="B22" s="3"/>
      <c r="C22" s="165"/>
      <c r="D22" s="150"/>
      <c r="E22" s="169" t="s">
        <v>271</v>
      </c>
      <c r="F22" s="167"/>
      <c r="G22" s="167"/>
      <c r="H22" s="167"/>
      <c r="I22" s="167"/>
      <c r="J22" s="150"/>
      <c r="K22" s="150"/>
      <c r="L22" s="163"/>
      <c r="M22" s="219">
        <v>10638486022</v>
      </c>
      <c r="N22" s="164"/>
      <c r="AM22" s="202"/>
    </row>
    <row r="23" spans="1:39" s="43" customFormat="1" x14ac:dyDescent="0.15">
      <c r="A23" s="1" t="s">
        <v>272</v>
      </c>
      <c r="B23" s="3"/>
      <c r="C23" s="165"/>
      <c r="D23" s="150"/>
      <c r="E23" s="169" t="s">
        <v>273</v>
      </c>
      <c r="F23" s="167"/>
      <c r="G23" s="167"/>
      <c r="H23" s="167"/>
      <c r="I23" s="167"/>
      <c r="J23" s="150"/>
      <c r="K23" s="150"/>
      <c r="L23" s="163"/>
      <c r="M23" s="218">
        <f>1486182685-230537110</f>
        <v>1255645575</v>
      </c>
      <c r="N23" s="164"/>
      <c r="AM23" s="202"/>
    </row>
    <row r="24" spans="1:39" s="43" customFormat="1" x14ac:dyDescent="0.15">
      <c r="A24" s="1" t="s">
        <v>274</v>
      </c>
      <c r="B24" s="3"/>
      <c r="C24" s="165"/>
      <c r="D24" s="150"/>
      <c r="E24" s="169" t="s">
        <v>275</v>
      </c>
      <c r="F24" s="167"/>
      <c r="G24" s="167"/>
      <c r="H24" s="167"/>
      <c r="I24" s="169"/>
      <c r="J24" s="150"/>
      <c r="K24" s="150"/>
      <c r="L24" s="163"/>
      <c r="M24" s="218">
        <f>2842313114-12527420</f>
        <v>2829785694</v>
      </c>
      <c r="N24" s="164"/>
      <c r="AM24" s="202"/>
    </row>
    <row r="25" spans="1:39" s="43" customFormat="1" x14ac:dyDescent="0.15">
      <c r="A25" s="1" t="s">
        <v>276</v>
      </c>
      <c r="B25" s="3"/>
      <c r="C25" s="165"/>
      <c r="D25" s="150" t="s">
        <v>277</v>
      </c>
      <c r="E25" s="169"/>
      <c r="F25" s="167"/>
      <c r="G25" s="167"/>
      <c r="H25" s="167"/>
      <c r="I25" s="169"/>
      <c r="J25" s="150"/>
      <c r="K25" s="150"/>
      <c r="L25" s="163"/>
      <c r="M25" s="219">
        <v>0</v>
      </c>
      <c r="N25" s="164"/>
      <c r="AM25" s="202"/>
    </row>
    <row r="26" spans="1:39" s="43" customFormat="1" x14ac:dyDescent="0.15">
      <c r="A26" s="1" t="s">
        <v>278</v>
      </c>
      <c r="B26" s="3"/>
      <c r="C26" s="165"/>
      <c r="D26" s="150"/>
      <c r="E26" s="169" t="s">
        <v>279</v>
      </c>
      <c r="F26" s="167"/>
      <c r="G26" s="167"/>
      <c r="H26" s="167"/>
      <c r="I26" s="167"/>
      <c r="J26" s="150"/>
      <c r="K26" s="150"/>
      <c r="L26" s="163"/>
      <c r="M26" s="219">
        <v>0</v>
      </c>
      <c r="N26" s="164"/>
      <c r="AM26" s="202"/>
    </row>
    <row r="27" spans="1:39" s="43" customFormat="1" x14ac:dyDescent="0.15">
      <c r="A27" s="1" t="s">
        <v>280</v>
      </c>
      <c r="B27" s="3"/>
      <c r="C27" s="165"/>
      <c r="D27" s="150"/>
      <c r="E27" s="169" t="s">
        <v>256</v>
      </c>
      <c r="F27" s="167"/>
      <c r="G27" s="167"/>
      <c r="H27" s="167"/>
      <c r="I27" s="167"/>
      <c r="J27" s="150"/>
      <c r="K27" s="150"/>
      <c r="L27" s="163"/>
      <c r="M27" s="219">
        <v>0</v>
      </c>
      <c r="N27" s="164"/>
      <c r="AM27" s="202"/>
    </row>
    <row r="28" spans="1:39" s="43" customFormat="1" x14ac:dyDescent="0.15">
      <c r="A28" s="1" t="s">
        <v>281</v>
      </c>
      <c r="B28" s="3"/>
      <c r="C28" s="165"/>
      <c r="D28" s="150" t="s">
        <v>282</v>
      </c>
      <c r="E28" s="169"/>
      <c r="F28" s="167"/>
      <c r="G28" s="167"/>
      <c r="H28" s="167"/>
      <c r="I28" s="167"/>
      <c r="J28" s="150"/>
      <c r="K28" s="150"/>
      <c r="L28" s="163"/>
      <c r="M28" s="219">
        <v>0</v>
      </c>
      <c r="N28" s="164"/>
      <c r="AM28" s="202"/>
    </row>
    <row r="29" spans="1:39" s="43" customFormat="1" x14ac:dyDescent="0.15">
      <c r="A29" s="1" t="s">
        <v>243</v>
      </c>
      <c r="B29" s="3"/>
      <c r="C29" s="170" t="s">
        <v>244</v>
      </c>
      <c r="D29" s="171"/>
      <c r="E29" s="172"/>
      <c r="F29" s="173"/>
      <c r="G29" s="173"/>
      <c r="H29" s="173"/>
      <c r="I29" s="173"/>
      <c r="J29" s="171"/>
      <c r="K29" s="171"/>
      <c r="L29" s="174"/>
      <c r="M29" s="220">
        <f>1809867456+149334037</f>
        <v>1959201493</v>
      </c>
      <c r="N29" s="175"/>
      <c r="AM29" s="202"/>
    </row>
    <row r="30" spans="1:39" s="43" customFormat="1" x14ac:dyDescent="0.15">
      <c r="A30" s="1"/>
      <c r="B30" s="3"/>
      <c r="C30" s="165" t="s">
        <v>351</v>
      </c>
      <c r="D30" s="150"/>
      <c r="E30" s="169"/>
      <c r="F30" s="167"/>
      <c r="G30" s="167"/>
      <c r="H30" s="167"/>
      <c r="I30" s="169"/>
      <c r="J30" s="150"/>
      <c r="K30" s="150"/>
      <c r="L30" s="163"/>
      <c r="M30" s="221"/>
      <c r="N30" s="176"/>
      <c r="AM30" s="202"/>
    </row>
    <row r="31" spans="1:39" s="43" customFormat="1" x14ac:dyDescent="0.15">
      <c r="A31" s="1" t="s">
        <v>285</v>
      </c>
      <c r="B31" s="3"/>
      <c r="C31" s="165"/>
      <c r="D31" s="150" t="s">
        <v>286</v>
      </c>
      <c r="E31" s="169"/>
      <c r="F31" s="167"/>
      <c r="G31" s="167"/>
      <c r="H31" s="167"/>
      <c r="I31" s="167"/>
      <c r="J31" s="150"/>
      <c r="K31" s="150"/>
      <c r="L31" s="163"/>
      <c r="M31" s="218">
        <f>3525762458-233628420</f>
        <v>3292134038</v>
      </c>
      <c r="N31" s="164"/>
      <c r="AM31" s="202"/>
    </row>
    <row r="32" spans="1:39" s="43" customFormat="1" x14ac:dyDescent="0.15">
      <c r="A32" s="1" t="s">
        <v>287</v>
      </c>
      <c r="B32" s="3"/>
      <c r="C32" s="165"/>
      <c r="D32" s="150"/>
      <c r="E32" s="169" t="s">
        <v>288</v>
      </c>
      <c r="F32" s="167"/>
      <c r="G32" s="167"/>
      <c r="H32" s="167"/>
      <c r="I32" s="167"/>
      <c r="J32" s="150"/>
      <c r="K32" s="150"/>
      <c r="L32" s="163"/>
      <c r="M32" s="218">
        <f>2261172274-231828420</f>
        <v>2029343854</v>
      </c>
      <c r="N32" s="164"/>
      <c r="AM32" s="202"/>
    </row>
    <row r="33" spans="1:39" s="43" customFormat="1" x14ac:dyDescent="0.15">
      <c r="A33" s="1" t="s">
        <v>289</v>
      </c>
      <c r="B33" s="3"/>
      <c r="C33" s="165"/>
      <c r="D33" s="150"/>
      <c r="E33" s="169" t="s">
        <v>290</v>
      </c>
      <c r="F33" s="167"/>
      <c r="G33" s="167"/>
      <c r="H33" s="167"/>
      <c r="I33" s="167"/>
      <c r="J33" s="150"/>
      <c r="K33" s="150"/>
      <c r="L33" s="163"/>
      <c r="M33" s="219">
        <v>1107703687</v>
      </c>
      <c r="N33" s="164"/>
      <c r="AM33" s="202"/>
    </row>
    <row r="34" spans="1:39" s="43" customFormat="1" x14ac:dyDescent="0.15">
      <c r="A34" s="1" t="s">
        <v>291</v>
      </c>
      <c r="B34" s="3"/>
      <c r="C34" s="165"/>
      <c r="D34" s="150"/>
      <c r="E34" s="169" t="s">
        <v>292</v>
      </c>
      <c r="F34" s="167"/>
      <c r="G34" s="167"/>
      <c r="H34" s="167"/>
      <c r="I34" s="167"/>
      <c r="J34" s="150"/>
      <c r="K34" s="150"/>
      <c r="L34" s="163"/>
      <c r="M34" s="219">
        <v>0</v>
      </c>
      <c r="N34" s="164"/>
      <c r="AM34" s="202"/>
    </row>
    <row r="35" spans="1:39" s="43" customFormat="1" x14ac:dyDescent="0.15">
      <c r="A35" s="1" t="s">
        <v>293</v>
      </c>
      <c r="B35" s="3"/>
      <c r="C35" s="165"/>
      <c r="D35" s="150"/>
      <c r="E35" s="169" t="s">
        <v>294</v>
      </c>
      <c r="F35" s="167"/>
      <c r="G35" s="167"/>
      <c r="H35" s="167"/>
      <c r="I35" s="167"/>
      <c r="J35" s="150"/>
      <c r="K35" s="150"/>
      <c r="L35" s="163"/>
      <c r="M35" s="218">
        <f>156884000-1800000</f>
        <v>155084000</v>
      </c>
      <c r="N35" s="164"/>
      <c r="AM35" s="202"/>
    </row>
    <row r="36" spans="1:39" s="43" customFormat="1" x14ac:dyDescent="0.15">
      <c r="A36" s="1" t="s">
        <v>295</v>
      </c>
      <c r="B36" s="3"/>
      <c r="C36" s="165"/>
      <c r="D36" s="150"/>
      <c r="E36" s="169" t="s">
        <v>256</v>
      </c>
      <c r="F36" s="167"/>
      <c r="G36" s="167"/>
      <c r="H36" s="167"/>
      <c r="I36" s="167"/>
      <c r="J36" s="150"/>
      <c r="K36" s="150"/>
      <c r="L36" s="163"/>
      <c r="M36" s="219">
        <v>2497</v>
      </c>
      <c r="N36" s="164"/>
      <c r="AM36" s="202"/>
    </row>
    <row r="37" spans="1:39" s="43" customFormat="1" x14ac:dyDescent="0.15">
      <c r="A37" s="1" t="s">
        <v>296</v>
      </c>
      <c r="B37" s="3"/>
      <c r="C37" s="165"/>
      <c r="D37" s="150" t="s">
        <v>297</v>
      </c>
      <c r="E37" s="169"/>
      <c r="F37" s="167"/>
      <c r="G37" s="167"/>
      <c r="H37" s="167"/>
      <c r="I37" s="169"/>
      <c r="J37" s="150"/>
      <c r="K37" s="150"/>
      <c r="L37" s="163"/>
      <c r="M37" s="218">
        <f>1712894049-474660000</f>
        <v>1238234049</v>
      </c>
      <c r="N37" s="164"/>
      <c r="AM37" s="202"/>
    </row>
    <row r="38" spans="1:39" s="43" customFormat="1" x14ac:dyDescent="0.15">
      <c r="A38" s="1" t="s">
        <v>298</v>
      </c>
      <c r="B38" s="3"/>
      <c r="C38" s="165"/>
      <c r="D38" s="150"/>
      <c r="E38" s="169" t="s">
        <v>271</v>
      </c>
      <c r="F38" s="167"/>
      <c r="G38" s="167"/>
      <c r="H38" s="167"/>
      <c r="I38" s="169"/>
      <c r="J38" s="150"/>
      <c r="K38" s="150"/>
      <c r="L38" s="163"/>
      <c r="M38" s="218">
        <f>683654500-472860000</f>
        <v>210794500</v>
      </c>
      <c r="N38" s="164"/>
      <c r="AM38" s="202"/>
    </row>
    <row r="39" spans="1:39" s="43" customFormat="1" x14ac:dyDescent="0.15">
      <c r="A39" s="1" t="s">
        <v>299</v>
      </c>
      <c r="B39" s="3"/>
      <c r="C39" s="165"/>
      <c r="D39" s="150"/>
      <c r="E39" s="169" t="s">
        <v>300</v>
      </c>
      <c r="F39" s="167"/>
      <c r="G39" s="167"/>
      <c r="H39" s="167"/>
      <c r="I39" s="169"/>
      <c r="J39" s="150"/>
      <c r="K39" s="150"/>
      <c r="L39" s="163"/>
      <c r="M39" s="219">
        <v>820278584</v>
      </c>
      <c r="N39" s="164"/>
      <c r="AM39" s="202"/>
    </row>
    <row r="40" spans="1:39" s="43" customFormat="1" x14ac:dyDescent="0.15">
      <c r="A40" s="1" t="s">
        <v>301</v>
      </c>
      <c r="B40" s="3"/>
      <c r="C40" s="165"/>
      <c r="D40" s="150"/>
      <c r="E40" s="169" t="s">
        <v>302</v>
      </c>
      <c r="F40" s="167"/>
      <c r="G40" s="150"/>
      <c r="H40" s="167"/>
      <c r="I40" s="167"/>
      <c r="J40" s="150"/>
      <c r="K40" s="150"/>
      <c r="L40" s="163"/>
      <c r="M40" s="218">
        <f>155867599-1800000</f>
        <v>154067599</v>
      </c>
      <c r="N40" s="164"/>
      <c r="AM40" s="202"/>
    </row>
    <row r="41" spans="1:39" s="43" customFormat="1" x14ac:dyDescent="0.15">
      <c r="A41" s="1" t="s">
        <v>303</v>
      </c>
      <c r="B41" s="3"/>
      <c r="C41" s="165"/>
      <c r="D41" s="150"/>
      <c r="E41" s="169" t="s">
        <v>304</v>
      </c>
      <c r="F41" s="167"/>
      <c r="G41" s="150"/>
      <c r="H41" s="167"/>
      <c r="I41" s="167"/>
      <c r="J41" s="150"/>
      <c r="K41" s="150"/>
      <c r="L41" s="163"/>
      <c r="M41" s="219">
        <v>55003366</v>
      </c>
      <c r="N41" s="164"/>
      <c r="AM41" s="202"/>
    </row>
    <row r="42" spans="1:39" s="43" customFormat="1" x14ac:dyDescent="0.15">
      <c r="A42" s="1" t="s">
        <v>305</v>
      </c>
      <c r="B42" s="3"/>
      <c r="C42" s="165"/>
      <c r="D42" s="150"/>
      <c r="E42" s="169" t="s">
        <v>275</v>
      </c>
      <c r="F42" s="167"/>
      <c r="G42" s="167"/>
      <c r="H42" s="167"/>
      <c r="I42" s="167"/>
      <c r="J42" s="150"/>
      <c r="K42" s="150"/>
      <c r="L42" s="163"/>
      <c r="M42" s="219">
        <v>-1910000</v>
      </c>
      <c r="N42" s="164"/>
      <c r="AM42" s="202"/>
    </row>
    <row r="43" spans="1:39" s="43" customFormat="1" x14ac:dyDescent="0.15">
      <c r="A43" s="1" t="s">
        <v>283</v>
      </c>
      <c r="B43" s="3"/>
      <c r="C43" s="170" t="s">
        <v>284</v>
      </c>
      <c r="D43" s="171"/>
      <c r="E43" s="172"/>
      <c r="F43" s="173"/>
      <c r="G43" s="173"/>
      <c r="H43" s="173"/>
      <c r="I43" s="173"/>
      <c r="J43" s="171"/>
      <c r="K43" s="171"/>
      <c r="L43" s="174"/>
      <c r="M43" s="205">
        <f>-1812868409-241031580</f>
        <v>-2053899989</v>
      </c>
      <c r="N43" s="175"/>
      <c r="AM43" s="202"/>
    </row>
    <row r="44" spans="1:39" s="43" customFormat="1" x14ac:dyDescent="0.15">
      <c r="A44" s="1"/>
      <c r="B44" s="3"/>
      <c r="C44" s="165" t="s">
        <v>352</v>
      </c>
      <c r="D44" s="150"/>
      <c r="E44" s="169"/>
      <c r="F44" s="167"/>
      <c r="G44" s="167"/>
      <c r="H44" s="167"/>
      <c r="I44" s="167"/>
      <c r="J44" s="150"/>
      <c r="K44" s="150"/>
      <c r="L44" s="163"/>
      <c r="M44" s="221"/>
      <c r="N44" s="176"/>
      <c r="AM44" s="202"/>
    </row>
    <row r="45" spans="1:39" s="43" customFormat="1" x14ac:dyDescent="0.15">
      <c r="A45" s="1" t="s">
        <v>308</v>
      </c>
      <c r="B45" s="3"/>
      <c r="C45" s="165"/>
      <c r="D45" s="150" t="s">
        <v>309</v>
      </c>
      <c r="E45" s="169"/>
      <c r="F45" s="167"/>
      <c r="G45" s="167"/>
      <c r="H45" s="167"/>
      <c r="I45" s="167"/>
      <c r="J45" s="150"/>
      <c r="K45" s="150"/>
      <c r="L45" s="163"/>
      <c r="M45" s="218">
        <f>2720744443-635256732</f>
        <v>2085487711</v>
      </c>
      <c r="N45" s="164"/>
      <c r="AM45" s="202"/>
    </row>
    <row r="46" spans="1:39" s="43" customFormat="1" x14ac:dyDescent="0.15">
      <c r="A46" s="1" t="s">
        <v>310</v>
      </c>
      <c r="B46" s="3"/>
      <c r="C46" s="165"/>
      <c r="D46" s="150"/>
      <c r="E46" s="169" t="s">
        <v>360</v>
      </c>
      <c r="F46" s="167"/>
      <c r="G46" s="167"/>
      <c r="H46" s="167"/>
      <c r="I46" s="167"/>
      <c r="J46" s="150"/>
      <c r="K46" s="150"/>
      <c r="L46" s="163"/>
      <c r="M46" s="218">
        <f>2717679756-635256732</f>
        <v>2082423024</v>
      </c>
      <c r="N46" s="164"/>
      <c r="AM46" s="202"/>
    </row>
    <row r="47" spans="1:39" s="43" customFormat="1" x14ac:dyDescent="0.15">
      <c r="A47" s="1" t="s">
        <v>311</v>
      </c>
      <c r="B47" s="3"/>
      <c r="C47" s="165"/>
      <c r="D47" s="150"/>
      <c r="E47" s="169" t="s">
        <v>256</v>
      </c>
      <c r="F47" s="167"/>
      <c r="G47" s="167"/>
      <c r="H47" s="167"/>
      <c r="I47" s="167"/>
      <c r="J47" s="150"/>
      <c r="K47" s="150"/>
      <c r="L47" s="163"/>
      <c r="M47" s="219">
        <v>3064687</v>
      </c>
      <c r="N47" s="164"/>
      <c r="AM47" s="202"/>
    </row>
    <row r="48" spans="1:39" s="43" customFormat="1" x14ac:dyDescent="0.15">
      <c r="A48" s="1" t="s">
        <v>312</v>
      </c>
      <c r="B48" s="3"/>
      <c r="C48" s="165"/>
      <c r="D48" s="150" t="s">
        <v>313</v>
      </c>
      <c r="E48" s="169"/>
      <c r="F48" s="167"/>
      <c r="G48" s="167"/>
      <c r="H48" s="167"/>
      <c r="I48" s="167"/>
      <c r="J48" s="150"/>
      <c r="K48" s="150"/>
      <c r="L48" s="163"/>
      <c r="M48" s="219">
        <f>2460566000-538100000</f>
        <v>1922466000</v>
      </c>
      <c r="N48" s="164"/>
      <c r="AM48" s="202"/>
    </row>
    <row r="49" spans="1:39" s="43" customFormat="1" x14ac:dyDescent="0.15">
      <c r="A49" s="1" t="s">
        <v>314</v>
      </c>
      <c r="B49" s="3"/>
      <c r="C49" s="165"/>
      <c r="D49" s="150"/>
      <c r="E49" s="169" t="s">
        <v>361</v>
      </c>
      <c r="F49" s="167"/>
      <c r="G49" s="167"/>
      <c r="H49" s="167"/>
      <c r="I49" s="162"/>
      <c r="J49" s="150"/>
      <c r="K49" s="150"/>
      <c r="L49" s="163"/>
      <c r="M49" s="219">
        <f>2460566000-538100000</f>
        <v>1922466000</v>
      </c>
      <c r="N49" s="164"/>
      <c r="AM49" s="202"/>
    </row>
    <row r="50" spans="1:39" s="43" customFormat="1" x14ac:dyDescent="0.15">
      <c r="A50" s="1" t="s">
        <v>315</v>
      </c>
      <c r="B50" s="3"/>
      <c r="C50" s="165"/>
      <c r="D50" s="150"/>
      <c r="E50" s="169" t="s">
        <v>275</v>
      </c>
      <c r="F50" s="167"/>
      <c r="G50" s="167"/>
      <c r="H50" s="167"/>
      <c r="I50" s="177"/>
      <c r="J50" s="150"/>
      <c r="K50" s="150"/>
      <c r="L50" s="163"/>
      <c r="M50" s="219">
        <v>0</v>
      </c>
      <c r="N50" s="164"/>
      <c r="AM50" s="202"/>
    </row>
    <row r="51" spans="1:39" s="43" customFormat="1" x14ac:dyDescent="0.15">
      <c r="A51" s="1" t="s">
        <v>306</v>
      </c>
      <c r="B51" s="3"/>
      <c r="C51" s="170" t="s">
        <v>307</v>
      </c>
      <c r="D51" s="171"/>
      <c r="E51" s="172"/>
      <c r="F51" s="173"/>
      <c r="G51" s="173"/>
      <c r="H51" s="173"/>
      <c r="I51" s="178"/>
      <c r="J51" s="171"/>
      <c r="K51" s="171"/>
      <c r="L51" s="174"/>
      <c r="M51" s="205">
        <f>-260178443+97156732</f>
        <v>-163021711</v>
      </c>
      <c r="N51" s="175"/>
      <c r="AM51" s="202"/>
    </row>
    <row r="52" spans="1:39" s="43" customFormat="1" x14ac:dyDescent="0.15">
      <c r="A52" s="1" t="s">
        <v>316</v>
      </c>
      <c r="B52" s="3"/>
      <c r="C52" s="307" t="s">
        <v>317</v>
      </c>
      <c r="D52" s="308"/>
      <c r="E52" s="308"/>
      <c r="F52" s="308"/>
      <c r="G52" s="308"/>
      <c r="H52" s="308"/>
      <c r="I52" s="308"/>
      <c r="J52" s="308"/>
      <c r="K52" s="308"/>
      <c r="L52" s="309"/>
      <c r="M52" s="205">
        <f>-263179396+5459189</f>
        <v>-257720207</v>
      </c>
      <c r="N52" s="175"/>
      <c r="AM52" s="202"/>
    </row>
    <row r="53" spans="1:39" s="43" customFormat="1" x14ac:dyDescent="0.15">
      <c r="A53" s="1" t="s">
        <v>318</v>
      </c>
      <c r="B53" s="3"/>
      <c r="C53" s="285" t="s">
        <v>319</v>
      </c>
      <c r="D53" s="286"/>
      <c r="E53" s="286"/>
      <c r="F53" s="286"/>
      <c r="G53" s="286"/>
      <c r="H53" s="286"/>
      <c r="I53" s="286"/>
      <c r="J53" s="286"/>
      <c r="K53" s="286"/>
      <c r="L53" s="287"/>
      <c r="M53" s="205">
        <v>3630756028</v>
      </c>
      <c r="N53" s="175"/>
      <c r="AM53" s="202"/>
    </row>
    <row r="54" spans="1:39" s="43" customFormat="1" ht="14.25" thickBot="1" x14ac:dyDescent="0.2">
      <c r="A54" s="1">
        <v>4435000</v>
      </c>
      <c r="B54" s="3"/>
      <c r="C54" s="288" t="s">
        <v>237</v>
      </c>
      <c r="D54" s="289"/>
      <c r="E54" s="289"/>
      <c r="F54" s="289"/>
      <c r="G54" s="289"/>
      <c r="H54" s="289"/>
      <c r="I54" s="289"/>
      <c r="J54" s="289"/>
      <c r="K54" s="289"/>
      <c r="L54" s="290"/>
      <c r="M54" s="222">
        <v>-705236</v>
      </c>
      <c r="N54" s="175"/>
      <c r="AM54" s="202"/>
    </row>
    <row r="55" spans="1:39" s="43" customFormat="1" ht="14.25" thickBot="1" x14ac:dyDescent="0.2">
      <c r="A55" s="1" t="s">
        <v>320</v>
      </c>
      <c r="B55" s="3"/>
      <c r="C55" s="291" t="s">
        <v>321</v>
      </c>
      <c r="D55" s="292"/>
      <c r="E55" s="292"/>
      <c r="F55" s="292"/>
      <c r="G55" s="292"/>
      <c r="H55" s="292"/>
      <c r="I55" s="292"/>
      <c r="J55" s="292"/>
      <c r="K55" s="292"/>
      <c r="L55" s="293"/>
      <c r="M55" s="223">
        <f>3366871396+5459189</f>
        <v>3372330585</v>
      </c>
      <c r="N55" s="179"/>
      <c r="AM55" s="202"/>
    </row>
    <row r="56" spans="1:39" s="43" customFormat="1" ht="14.25" thickBot="1" x14ac:dyDescent="0.2">
      <c r="A56" s="1"/>
      <c r="B56" s="3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224"/>
      <c r="N56" s="181"/>
      <c r="AM56" s="202"/>
    </row>
    <row r="57" spans="1:39" s="43" customFormat="1" x14ac:dyDescent="0.15">
      <c r="A57" s="1" t="s">
        <v>322</v>
      </c>
      <c r="B57" s="3"/>
      <c r="C57" s="182" t="s">
        <v>323</v>
      </c>
      <c r="D57" s="183"/>
      <c r="E57" s="183"/>
      <c r="F57" s="183"/>
      <c r="G57" s="183"/>
      <c r="H57" s="183"/>
      <c r="I57" s="183"/>
      <c r="J57" s="183"/>
      <c r="K57" s="183"/>
      <c r="L57" s="183"/>
      <c r="M57" s="225">
        <v>150015707</v>
      </c>
      <c r="N57" s="184"/>
      <c r="AM57" s="202"/>
    </row>
    <row r="58" spans="1:39" s="43" customFormat="1" x14ac:dyDescent="0.15">
      <c r="A58" s="1" t="s">
        <v>324</v>
      </c>
      <c r="B58" s="3"/>
      <c r="C58" s="185" t="s">
        <v>325</v>
      </c>
      <c r="D58" s="186"/>
      <c r="E58" s="186"/>
      <c r="F58" s="186"/>
      <c r="G58" s="186"/>
      <c r="H58" s="186"/>
      <c r="I58" s="186"/>
      <c r="J58" s="186"/>
      <c r="K58" s="186"/>
      <c r="L58" s="186"/>
      <c r="M58" s="205">
        <v>3614076</v>
      </c>
      <c r="N58" s="175"/>
      <c r="AM58" s="202"/>
    </row>
    <row r="59" spans="1:39" s="43" customFormat="1" ht="14.25" thickBot="1" x14ac:dyDescent="0.2">
      <c r="A59" s="1" t="s">
        <v>326</v>
      </c>
      <c r="B59" s="3"/>
      <c r="C59" s="187" t="s">
        <v>327</v>
      </c>
      <c r="D59" s="188"/>
      <c r="E59" s="188"/>
      <c r="F59" s="188"/>
      <c r="G59" s="188"/>
      <c r="H59" s="188"/>
      <c r="I59" s="188"/>
      <c r="J59" s="188"/>
      <c r="K59" s="188"/>
      <c r="L59" s="188"/>
      <c r="M59" s="226">
        <v>153629783</v>
      </c>
      <c r="N59" s="189"/>
      <c r="AM59" s="202"/>
    </row>
    <row r="60" spans="1:39" s="43" customFormat="1" ht="14.25" thickBot="1" x14ac:dyDescent="0.2">
      <c r="A60" s="1" t="s">
        <v>328</v>
      </c>
      <c r="B60" s="3"/>
      <c r="C60" s="190" t="s">
        <v>329</v>
      </c>
      <c r="D60" s="191"/>
      <c r="E60" s="192"/>
      <c r="F60" s="193"/>
      <c r="G60" s="193"/>
      <c r="H60" s="193"/>
      <c r="I60" s="193"/>
      <c r="J60" s="191"/>
      <c r="K60" s="191"/>
      <c r="L60" s="191"/>
      <c r="M60" s="227">
        <f>3520501179+5459189</f>
        <v>3525960368</v>
      </c>
      <c r="N60" s="179"/>
      <c r="AM60" s="202"/>
    </row>
    <row r="61" spans="1:39" s="43" customFormat="1" ht="6.75" customHeight="1" x14ac:dyDescent="0.15">
      <c r="A61" s="1"/>
      <c r="B61" s="3"/>
      <c r="C61" s="149"/>
      <c r="D61" s="149"/>
      <c r="E61" s="194"/>
      <c r="F61" s="195"/>
      <c r="G61" s="195"/>
      <c r="H61" s="195"/>
      <c r="I61" s="196"/>
      <c r="J61" s="197"/>
      <c r="K61" s="197"/>
      <c r="L61" s="197"/>
      <c r="M61" s="3"/>
      <c r="N61" s="3"/>
    </row>
    <row r="62" spans="1:39" s="43" customFormat="1" x14ac:dyDescent="0.15">
      <c r="A62" s="1"/>
      <c r="B62" s="3"/>
      <c r="C62" s="149"/>
      <c r="D62" s="198"/>
      <c r="E62" s="194"/>
      <c r="F62" s="195"/>
      <c r="G62" s="195"/>
      <c r="H62" s="195"/>
      <c r="I62" s="199"/>
      <c r="J62" s="197"/>
      <c r="K62" s="197"/>
      <c r="L62" s="197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1333　財政課の早川</dc:creator>
  <cp:lastModifiedBy>早川　寛孝</cp:lastModifiedBy>
  <cp:lastPrinted>2020-04-23T05:15:08Z</cp:lastPrinted>
  <dcterms:created xsi:type="dcterms:W3CDTF">2020-04-23T02:37:47Z</dcterms:created>
  <dcterms:modified xsi:type="dcterms:W3CDTF">2020-05-26T05:46:51Z</dcterms:modified>
</cp:coreProperties>
</file>